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RA\2-Financial Management\"/>
    </mc:Choice>
  </mc:AlternateContent>
  <xr:revisionPtr revIDLastSave="0" documentId="8_{6DFF6303-EA8F-4A2E-8FF7-BE1EED7700C1}" xr6:coauthVersionLast="47" xr6:coauthVersionMax="47" xr10:uidLastSave="{00000000-0000-0000-0000-000000000000}"/>
  <bookViews>
    <workbookView xWindow="1365" yWindow="120" windowWidth="26205" windowHeight="17010" xr2:uid="{00000000-000D-0000-FFFF-FFFF00000000}"/>
  </bookViews>
  <sheets>
    <sheet name="Year1" sheetId="1" r:id="rId1"/>
    <sheet name="Sheet1" sheetId="14" state="hidden" r:id="rId2"/>
    <sheet name="Grid2" sheetId="13" state="hidden" r:id="rId3"/>
    <sheet name="Grid" sheetId="9" state="hidden" r:id="rId4"/>
    <sheet name="Year2" sheetId="2" r:id="rId5"/>
    <sheet name="Year3" sheetId="6" r:id="rId6"/>
    <sheet name="Year4" sheetId="5" r:id="rId7"/>
    <sheet name="Year5" sheetId="4" r:id="rId8"/>
    <sheet name="Summary_Budget" sheetId="8" r:id="rId9"/>
    <sheet name="INDUSTRY" sheetId="15" r:id="rId10"/>
    <sheet name="Budget Optimizer" sheetId="11" r:id="rId11"/>
    <sheet name="Reference" sheetId="3" r:id="rId12"/>
    <sheet name="AB20 Template" sheetId="12" r:id="rId13"/>
    <sheet name="Instructions" sheetId="10" r:id="rId14"/>
  </sheets>
  <externalReferences>
    <externalReference r:id="rId15"/>
  </externalReferences>
  <definedNames>
    <definedName name="_xlnm._FilterDatabase" localSheetId="0" hidden="1">Year1!$C$8:$H$23</definedName>
    <definedName name="_xlnm._FilterDatabase" localSheetId="7" hidden="1">Year5!$C$11:$H$23</definedName>
    <definedName name="Academic_Year">Grid!$R$39:$R$668</definedName>
    <definedName name="AR_FY">Grid2!$M$158:$M$605</definedName>
    <definedName name="AR_SALARY">Grid2!$L$158:$L$605</definedName>
    <definedName name="AR_Title">Grid2!$K$158:$K$605</definedName>
    <definedName name="Beg_mos_postdoc">Grid2!$H$44:$H$55</definedName>
    <definedName name="Begin_month">Grid!$K$27:$K$38</definedName>
    <definedName name="Begin_Month2">Grid2!$G$27:$G$38</definedName>
    <definedName name="Blank">Year1!$C$12</definedName>
    <definedName name="cal_mos_postdoc">Grid2!$R$27:$R$230</definedName>
    <definedName name="Calendar_Months">Grid!$P$39:$P$668</definedName>
    <definedName name="CALENDAR_MONTHS_AR">Grid2!$O$27:$O$206</definedName>
    <definedName name="DATE_COLUMN">Grid!$Q$39:$Q$668</definedName>
    <definedName name="DATE_COLUMN_AR">Grid2!$N$27:$N$206</definedName>
    <definedName name="date_postdoc">Grid2!$Q$27:$Q$230</definedName>
    <definedName name="Department">Year1!$C$26</definedName>
    <definedName name="Department2">Year1!$C$34</definedName>
    <definedName name="exp_level_2">Sheet1!$V$11:$V$108</definedName>
    <definedName name="exp_level_3">Sheet1!$Z$11:$Z$108</definedName>
    <definedName name="exp_level_hire_date_2">Sheet1!$R$11:$R$196</definedName>
    <definedName name="exp_level_inc">[1]Sheet3!$E$6:$E$41</definedName>
    <definedName name="Fees">Grid!$C$69:$C$145</definedName>
    <definedName name="Fiscal_Year_">Grid2!$P$27:$P$206</definedName>
    <definedName name="FY_postdoc">Grid2!$S$27:$S$230</definedName>
    <definedName name="FYPX">Sheet1!$O$11:$O$108</definedName>
    <definedName name="GSR_exp">Grid!$A$120:$D$173</definedName>
    <definedName name="hiredate2_FY">Sheet1!$S$11:$S$196</definedName>
    <definedName name="hiredate2_period1">Grid2!$E$2:$E$13</definedName>
    <definedName name="Hiredate2_period2">Grid2!$F$2:$F$13</definedName>
    <definedName name="hiredate2_period3">Grid2!$G$2:$G$13</definedName>
    <definedName name="HireDate2_PX_months">Grid2!$H$2:$H$13</definedName>
    <definedName name="hiredate2_salary">Sheet1!$T$11:$T$196</definedName>
    <definedName name="hireDate2PX_monthsA">Grid2!$I$2:$I$13</definedName>
    <definedName name="Level_exp">[1]Sheet3!$D$6:$D$41</definedName>
    <definedName name="level_range">[1]Sheet3!$I$6:$I$35</definedName>
    <definedName name="Monthly_Rate">Reference!$A$42:$B$65</definedName>
    <definedName name="MonthlySalaryPX">Sheet1!$P$11:$P$108</definedName>
    <definedName name="Name">Grid!$A$210:$A$934</definedName>
    <definedName name="Number_Months">Grid!$D$3:$D$24</definedName>
    <definedName name="Other_Personnel">Grid!$F$422:$F$478</definedName>
    <definedName name="Other_Personnel_Rate">Grid!$I$422:$I$477</definedName>
    <definedName name="per_1_postdoc">Grid2!$I$44:$I$55</definedName>
    <definedName name="Per_2_postdoc">Grid2!$K$44:$K$55</definedName>
    <definedName name="period_1">Grid!$L$27:$L$38</definedName>
    <definedName name="Period_2">Grid!$M$27:$M$3529</definedName>
    <definedName name="Period_3">Grid!$N$27:$N$38</definedName>
    <definedName name="Period_4">Grid!$O$27:$O$38</definedName>
    <definedName name="Period_5">Grid!$P$27:$P$38</definedName>
    <definedName name="Period1_AR">Grid2!$I$27:$I$38</definedName>
    <definedName name="Period2_AR">Grid2!$K$27:$K$38</definedName>
    <definedName name="postdoc_salary">Grid2!$K$138:$L$145</definedName>
    <definedName name="_xlnm.Print_Area" localSheetId="0">Year1!$A$1:$H$231</definedName>
    <definedName name="PX_salary2">Sheet1!$X$11:$X$108</definedName>
    <definedName name="PX_salary3">Sheet1!$AB$11:$AB$108</definedName>
    <definedName name="PXFY2">Sheet1!$W$11:$W$108</definedName>
    <definedName name="PXFY3">Sheet1!$AA$11:$AA$108</definedName>
    <definedName name="PXlevel">Sheet1!$N$11:$N$108</definedName>
    <definedName name="Range_Increase">[1]Sheet3!$J$6:$J$35</definedName>
    <definedName name="Range1">Grid!$A$3:$A$173</definedName>
    <definedName name="Range2">Grid!$B$3:$B$173</definedName>
    <definedName name="Range3">Grid!$A$69:$A$145</definedName>
    <definedName name="Range4">Grid!$B$69:$B$145</definedName>
    <definedName name="Research_Monthly_Rate">Reference!$J$42:$J$78</definedName>
    <definedName name="Research_Type">Reference!$A$2:$A$7</definedName>
    <definedName name="Salary">Grid!$C$3:$C$173</definedName>
    <definedName name="Salary_experience">[1]Sheet3!$F$6:$F$41</definedName>
    <definedName name="Salary_range">[1]Sheet3!$K$6:$K$35</definedName>
    <definedName name="Step">Grid!$K$17:$K$22</definedName>
    <definedName name="Time_Periods">Grid!$E$3:$E$24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E13" i="4"/>
  <c r="E14" i="4"/>
  <c r="E15" i="4"/>
  <c r="E16" i="4"/>
  <c r="E17" i="4"/>
  <c r="E18" i="4"/>
  <c r="E19" i="4"/>
  <c r="E20" i="4"/>
  <c r="E21" i="4"/>
  <c r="E22" i="4"/>
  <c r="F36" i="3"/>
  <c r="F35" i="3"/>
  <c r="F34" i="3"/>
  <c r="F33" i="3"/>
  <c r="F32" i="3"/>
  <c r="F31" i="3"/>
  <c r="F23" i="3"/>
  <c r="F22" i="3"/>
  <c r="F21" i="3"/>
  <c r="F20" i="3"/>
  <c r="F19" i="3"/>
  <c r="F18" i="3"/>
  <c r="D25" i="3"/>
  <c r="D26" i="3" s="1"/>
  <c r="D38" i="3"/>
  <c r="D39" i="3" s="1"/>
  <c r="F15" i="3"/>
  <c r="F14" i="3"/>
  <c r="F13" i="3"/>
  <c r="F12" i="3"/>
  <c r="F11" i="3"/>
  <c r="F10" i="3"/>
  <c r="D116" i="5" a="1"/>
  <c r="D116" i="5" s="1"/>
  <c r="D115" i="5" a="1"/>
  <c r="D115" i="5" s="1"/>
  <c r="D114" i="5" a="1"/>
  <c r="D114" i="5" s="1"/>
  <c r="D112" i="5" a="1"/>
  <c r="D112" i="5" s="1"/>
  <c r="D111" i="5" a="1"/>
  <c r="D111" i="5" s="1"/>
  <c r="D110" i="5" a="1"/>
  <c r="D110" i="5" s="1"/>
  <c r="D108" i="5" a="1"/>
  <c r="D108" i="5" s="1"/>
  <c r="D107" i="5" a="1"/>
  <c r="D107" i="5" s="1"/>
  <c r="D106" i="5" a="1"/>
  <c r="D106" i="5" s="1"/>
  <c r="D104" i="5" a="1"/>
  <c r="D104" i="5" s="1"/>
  <c r="D103" i="5" a="1"/>
  <c r="D103" i="5" s="1"/>
  <c r="D102" i="5" a="1"/>
  <c r="D102" i="5" s="1"/>
  <c r="D112" i="6" a="1"/>
  <c r="D112" i="6" s="1"/>
  <c r="D111" i="6" a="1"/>
  <c r="D111" i="6" s="1"/>
  <c r="D110" i="6" a="1"/>
  <c r="D110" i="6" s="1"/>
  <c r="D108" i="6" a="1"/>
  <c r="D108" i="6" s="1"/>
  <c r="D107" i="6" a="1"/>
  <c r="D107" i="6" s="1"/>
  <c r="D106" i="6" a="1"/>
  <c r="D106" i="6" s="1"/>
  <c r="D104" i="6" a="1"/>
  <c r="D104" i="6" s="1"/>
  <c r="D116" i="6" a="1"/>
  <c r="D116" i="6" s="1"/>
  <c r="D115" i="6" a="1"/>
  <c r="D115" i="6" s="1"/>
  <c r="D114" i="6" a="1"/>
  <c r="D114" i="6" s="1"/>
  <c r="D103" i="6" a="1"/>
  <c r="D103" i="6" s="1"/>
  <c r="D102" i="6" a="1"/>
  <c r="D102" i="6" s="1"/>
  <c r="D116" i="2" a="1"/>
  <c r="D116" i="2" s="1"/>
  <c r="D115" i="2" a="1"/>
  <c r="D115" i="2" s="1"/>
  <c r="D114" i="2" a="1"/>
  <c r="D114" i="2" s="1"/>
  <c r="D112" i="2" a="1"/>
  <c r="D112" i="2" s="1"/>
  <c r="D111" i="2" a="1"/>
  <c r="D111" i="2" s="1"/>
  <c r="D110" i="2" a="1"/>
  <c r="D110" i="2" s="1"/>
  <c r="D108" i="2" a="1"/>
  <c r="D108" i="2" s="1"/>
  <c r="D107" i="2" a="1"/>
  <c r="D107" i="2" s="1"/>
  <c r="D106" i="2" a="1"/>
  <c r="D106" i="2" s="1"/>
  <c r="D104" i="2" a="1"/>
  <c r="D104" i="2" s="1"/>
  <c r="D103" i="2" a="1"/>
  <c r="D103" i="2" s="1"/>
  <c r="D102" i="2" a="1"/>
  <c r="D102" i="2" s="1"/>
  <c r="D116" i="1" a="1"/>
  <c r="D116" i="1" s="1"/>
  <c r="D115" i="1" a="1"/>
  <c r="D115" i="1" s="1"/>
  <c r="D114" i="1" a="1"/>
  <c r="D114" i="1" s="1"/>
  <c r="D112" i="1" a="1"/>
  <c r="D112" i="1" s="1"/>
  <c r="D111" i="1" a="1"/>
  <c r="D111" i="1" s="1"/>
  <c r="D110" i="1" a="1"/>
  <c r="D110" i="1" s="1"/>
  <c r="D108" i="1" a="1"/>
  <c r="D108" i="1" s="1"/>
  <c r="D107" i="1" a="1"/>
  <c r="D107" i="1" s="1"/>
  <c r="D106" i="1" a="1"/>
  <c r="D106" i="1" s="1"/>
  <c r="D104" i="1" a="1"/>
  <c r="D104" i="1" s="1"/>
  <c r="D103" i="1" a="1"/>
  <c r="D103" i="1" s="1"/>
  <c r="D102" i="1" a="1"/>
  <c r="D102" i="1" s="1"/>
  <c r="AB108" i="14"/>
  <c r="AB107" i="14"/>
  <c r="AB106" i="14"/>
  <c r="AB105" i="14"/>
  <c r="AB104" i="14"/>
  <c r="AB103" i="14"/>
  <c r="AB102" i="14"/>
  <c r="AB101" i="14"/>
  <c r="AB100" i="14"/>
  <c r="AB99" i="14"/>
  <c r="AB98" i="14"/>
  <c r="AB97" i="14"/>
  <c r="AB96" i="14"/>
  <c r="AB95" i="14"/>
  <c r="X108" i="14"/>
  <c r="X107" i="14"/>
  <c r="X106" i="14"/>
  <c r="X105" i="14"/>
  <c r="X104" i="14"/>
  <c r="X103" i="14"/>
  <c r="X102" i="14"/>
  <c r="X101" i="14"/>
  <c r="X100" i="14"/>
  <c r="X99" i="14"/>
  <c r="X98" i="14"/>
  <c r="X97" i="14"/>
  <c r="X96" i="14"/>
  <c r="X18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D116" i="4" a="1"/>
  <c r="D116" i="4" s="1"/>
  <c r="D115" i="4" a="1"/>
  <c r="D115" i="4" s="1"/>
  <c r="D114" i="4" a="1"/>
  <c r="D114" i="4" s="1"/>
  <c r="D112" i="4" a="1"/>
  <c r="D112" i="4" s="1"/>
  <c r="D111" i="4" a="1"/>
  <c r="D111" i="4" s="1"/>
  <c r="D110" i="4" a="1"/>
  <c r="D110" i="4" s="1"/>
  <c r="D108" i="4" a="1"/>
  <c r="D108" i="4" s="1"/>
  <c r="D107" i="4" a="1"/>
  <c r="D107" i="4" s="1"/>
  <c r="D106" i="4" a="1"/>
  <c r="D106" i="4" s="1"/>
  <c r="T185" i="14"/>
  <c r="T183" i="14"/>
  <c r="T181" i="14"/>
  <c r="T179" i="14"/>
  <c r="T177" i="14"/>
  <c r="T175" i="14"/>
  <c r="D104" i="4" a="1"/>
  <c r="D104" i="4" s="1"/>
  <c r="D103" i="4" a="1"/>
  <c r="D103" i="4" s="1"/>
  <c r="D102" i="4" a="1"/>
  <c r="D102" i="4" s="1"/>
  <c r="F13" i="12"/>
  <c r="F20" i="12" l="1"/>
  <c r="F19" i="12"/>
  <c r="I16" i="12"/>
  <c r="F15" i="12"/>
  <c r="N236" i="9"/>
  <c r="L236" i="9"/>
  <c r="J236" i="9"/>
  <c r="H236" i="9"/>
  <c r="E28" i="12"/>
  <c r="J16" i="12"/>
  <c r="G16" i="12"/>
  <c r="H16" i="12"/>
  <c r="F14" i="12"/>
  <c r="D24" i="15"/>
  <c r="H23" i="15"/>
  <c r="G23" i="15"/>
  <c r="F23" i="15"/>
  <c r="E23" i="15"/>
  <c r="D20" i="15"/>
  <c r="H3" i="15"/>
  <c r="E4" i="15"/>
  <c r="E3" i="15"/>
  <c r="E2" i="15"/>
  <c r="C86" i="4"/>
  <c r="C25" i="6"/>
  <c r="C57" i="6"/>
  <c r="H211" i="4" l="1"/>
  <c r="H210" i="4"/>
  <c r="H209" i="4"/>
  <c r="H204" i="4"/>
  <c r="H203" i="4"/>
  <c r="H202" i="4"/>
  <c r="H196" i="4"/>
  <c r="H195" i="4"/>
  <c r="H194" i="4"/>
  <c r="H193" i="4"/>
  <c r="H191" i="4"/>
  <c r="H211" i="5"/>
  <c r="H210" i="5"/>
  <c r="H209" i="5"/>
  <c r="H204" i="5"/>
  <c r="H196" i="5"/>
  <c r="H195" i="5"/>
  <c r="H194" i="5"/>
  <c r="H193" i="5"/>
  <c r="H191" i="5"/>
  <c r="H211" i="6"/>
  <c r="H210" i="6"/>
  <c r="H209" i="6"/>
  <c r="H204" i="6"/>
  <c r="H196" i="6"/>
  <c r="H195" i="6"/>
  <c r="H194" i="6"/>
  <c r="H193" i="6"/>
  <c r="H191" i="6"/>
  <c r="H211" i="2"/>
  <c r="H210" i="2"/>
  <c r="H209" i="2"/>
  <c r="H204" i="2"/>
  <c r="H196" i="2"/>
  <c r="H195" i="2"/>
  <c r="H194" i="2"/>
  <c r="H193" i="2"/>
  <c r="H191" i="2"/>
  <c r="E118" i="1" l="1"/>
  <c r="F98" i="2"/>
  <c r="F98" i="6" s="1"/>
  <c r="F98" i="5" s="1"/>
  <c r="F98" i="4" s="1"/>
  <c r="F97" i="2"/>
  <c r="F97" i="6" s="1"/>
  <c r="F97" i="5" s="1"/>
  <c r="F97" i="4" s="1"/>
  <c r="F96" i="2"/>
  <c r="F96" i="6" s="1"/>
  <c r="F96" i="5" s="1"/>
  <c r="F96" i="4" s="1"/>
  <c r="F95" i="2"/>
  <c r="F95" i="6" s="1"/>
  <c r="F95" i="5" s="1"/>
  <c r="F95" i="4" s="1"/>
  <c r="F94" i="2"/>
  <c r="F94" i="6" s="1"/>
  <c r="F94" i="5" s="1"/>
  <c r="F94" i="4" s="1"/>
  <c r="F93" i="2"/>
  <c r="F93" i="6" s="1"/>
  <c r="F93" i="5" s="1"/>
  <c r="F93" i="4" s="1"/>
  <c r="F92" i="2"/>
  <c r="F92" i="6" s="1"/>
  <c r="F92" i="5" s="1"/>
  <c r="F92" i="4" s="1"/>
  <c r="H98" i="1"/>
  <c r="H97" i="1"/>
  <c r="F30" i="3"/>
  <c r="L600" i="13"/>
  <c r="L601" i="13" s="1"/>
  <c r="L602" i="13" s="1"/>
  <c r="L603" i="13" s="1"/>
  <c r="L604" i="13" s="1"/>
  <c r="L592" i="13"/>
  <c r="L593" i="13" s="1"/>
  <c r="L594" i="13" s="1"/>
  <c r="L595" i="13" s="1"/>
  <c r="L596" i="13" s="1"/>
  <c r="L584" i="13"/>
  <c r="L585" i="13" s="1"/>
  <c r="L586" i="13" s="1"/>
  <c r="L587" i="13" s="1"/>
  <c r="L588" i="13" s="1"/>
  <c r="L576" i="13"/>
  <c r="L577" i="13" s="1"/>
  <c r="L578" i="13" s="1"/>
  <c r="L579" i="13" s="1"/>
  <c r="L580" i="13" s="1"/>
  <c r="L568" i="13"/>
  <c r="L569" i="13" s="1"/>
  <c r="L570" i="13" s="1"/>
  <c r="L571" i="13" s="1"/>
  <c r="L572" i="13" s="1"/>
  <c r="L560" i="13"/>
  <c r="L561" i="13" s="1"/>
  <c r="L562" i="13" s="1"/>
  <c r="L563" i="13" s="1"/>
  <c r="L564" i="13" s="1"/>
  <c r="L552" i="13"/>
  <c r="L553" i="13" s="1"/>
  <c r="L554" i="13" s="1"/>
  <c r="L555" i="13" s="1"/>
  <c r="L556" i="13" s="1"/>
  <c r="L544" i="13"/>
  <c r="L545" i="13" s="1"/>
  <c r="L546" i="13" s="1"/>
  <c r="L547" i="13" s="1"/>
  <c r="L548" i="13" s="1"/>
  <c r="L536" i="13"/>
  <c r="L537" i="13" s="1"/>
  <c r="L538" i="13" s="1"/>
  <c r="L539" i="13" s="1"/>
  <c r="L540" i="13" s="1"/>
  <c r="L528" i="13"/>
  <c r="L529" i="13" s="1"/>
  <c r="L530" i="13" s="1"/>
  <c r="L531" i="13" s="1"/>
  <c r="L532" i="13" s="1"/>
  <c r="L520" i="13"/>
  <c r="L521" i="13" s="1"/>
  <c r="L522" i="13" s="1"/>
  <c r="L523" i="13" s="1"/>
  <c r="L524" i="13" s="1"/>
  <c r="L512" i="13"/>
  <c r="L513" i="13" s="1"/>
  <c r="L514" i="13" s="1"/>
  <c r="L515" i="13" s="1"/>
  <c r="L516" i="13" s="1"/>
  <c r="L504" i="13"/>
  <c r="L505" i="13" s="1"/>
  <c r="L506" i="13" s="1"/>
  <c r="L507" i="13" s="1"/>
  <c r="L508" i="13" s="1"/>
  <c r="L496" i="13"/>
  <c r="L497" i="13" s="1"/>
  <c r="L498" i="13" s="1"/>
  <c r="L499" i="13" s="1"/>
  <c r="L500" i="13" s="1"/>
  <c r="L488" i="13"/>
  <c r="L489" i="13" s="1"/>
  <c r="L490" i="13" s="1"/>
  <c r="L491" i="13" s="1"/>
  <c r="L492" i="13" s="1"/>
  <c r="L480" i="13"/>
  <c r="L481" i="13" s="1"/>
  <c r="L482" i="13" s="1"/>
  <c r="L483" i="13" s="1"/>
  <c r="L484" i="13" s="1"/>
  <c r="L472" i="13"/>
  <c r="L473" i="13" s="1"/>
  <c r="L474" i="13" s="1"/>
  <c r="L475" i="13" s="1"/>
  <c r="L476" i="13" s="1"/>
  <c r="L464" i="13"/>
  <c r="L465" i="13" s="1"/>
  <c r="L466" i="13" s="1"/>
  <c r="L467" i="13" s="1"/>
  <c r="L468" i="13" s="1"/>
  <c r="L456" i="13"/>
  <c r="L457" i="13" s="1"/>
  <c r="L458" i="13" s="1"/>
  <c r="L459" i="13" s="1"/>
  <c r="L460" i="13" s="1"/>
  <c r="L448" i="13"/>
  <c r="L449" i="13" s="1"/>
  <c r="L450" i="13" s="1"/>
  <c r="L451" i="13" s="1"/>
  <c r="L452" i="13" s="1"/>
  <c r="L440" i="13"/>
  <c r="L441" i="13" s="1"/>
  <c r="L442" i="13" s="1"/>
  <c r="L443" i="13" s="1"/>
  <c r="L444" i="13" s="1"/>
  <c r="L432" i="13"/>
  <c r="L433" i="13" s="1"/>
  <c r="L434" i="13" s="1"/>
  <c r="L435" i="13" s="1"/>
  <c r="L436" i="13" s="1"/>
  <c r="L424" i="13"/>
  <c r="L425" i="13" s="1"/>
  <c r="L426" i="13" s="1"/>
  <c r="L427" i="13" s="1"/>
  <c r="L428" i="13" s="1"/>
  <c r="L416" i="13"/>
  <c r="L417" i="13" s="1"/>
  <c r="L418" i="13" s="1"/>
  <c r="L419" i="13" s="1"/>
  <c r="L420" i="13" s="1"/>
  <c r="L408" i="13"/>
  <c r="L409" i="13" s="1"/>
  <c r="L410" i="13" s="1"/>
  <c r="L411" i="13" s="1"/>
  <c r="L412" i="13" s="1"/>
  <c r="L400" i="13"/>
  <c r="L401" i="13" s="1"/>
  <c r="L402" i="13" s="1"/>
  <c r="L403" i="13" s="1"/>
  <c r="L404" i="13" s="1"/>
  <c r="L392" i="13"/>
  <c r="L393" i="13" s="1"/>
  <c r="L394" i="13" s="1"/>
  <c r="L395" i="13" s="1"/>
  <c r="L396" i="13" s="1"/>
  <c r="L384" i="13"/>
  <c r="L385" i="13" s="1"/>
  <c r="L386" i="13" s="1"/>
  <c r="L387" i="13" s="1"/>
  <c r="L388" i="13" s="1"/>
  <c r="L376" i="13"/>
  <c r="L377" i="13" s="1"/>
  <c r="L378" i="13" s="1"/>
  <c r="L379" i="13" s="1"/>
  <c r="L380" i="13" s="1"/>
  <c r="L368" i="13"/>
  <c r="L369" i="13" s="1"/>
  <c r="L370" i="13" s="1"/>
  <c r="L371" i="13" s="1"/>
  <c r="L372" i="13" s="1"/>
  <c r="L360" i="13"/>
  <c r="L361" i="13" s="1"/>
  <c r="L362" i="13" s="1"/>
  <c r="L363" i="13" s="1"/>
  <c r="L364" i="13" s="1"/>
  <c r="L352" i="13"/>
  <c r="L353" i="13" s="1"/>
  <c r="L354" i="13" s="1"/>
  <c r="L355" i="13" s="1"/>
  <c r="L356" i="13" s="1"/>
  <c r="L344" i="13"/>
  <c r="L345" i="13" s="1"/>
  <c r="L346" i="13" s="1"/>
  <c r="L347" i="13" s="1"/>
  <c r="L348" i="13" s="1"/>
  <c r="L336" i="13"/>
  <c r="L337" i="13" s="1"/>
  <c r="L338" i="13" s="1"/>
  <c r="L339" i="13" s="1"/>
  <c r="L340" i="13" s="1"/>
  <c r="L328" i="13"/>
  <c r="L329" i="13" s="1"/>
  <c r="L330" i="13" s="1"/>
  <c r="L331" i="13" s="1"/>
  <c r="L332" i="13" s="1"/>
  <c r="L320" i="13"/>
  <c r="L321" i="13" s="1"/>
  <c r="L322" i="13" s="1"/>
  <c r="L323" i="13" s="1"/>
  <c r="L324" i="13" s="1"/>
  <c r="L312" i="13"/>
  <c r="L313" i="13" s="1"/>
  <c r="L314" i="13" s="1"/>
  <c r="L315" i="13" s="1"/>
  <c r="L316" i="13" s="1"/>
  <c r="L304" i="13"/>
  <c r="L305" i="13" s="1"/>
  <c r="L306" i="13" s="1"/>
  <c r="L307" i="13" s="1"/>
  <c r="L308" i="13" s="1"/>
  <c r="L296" i="13"/>
  <c r="L297" i="13" s="1"/>
  <c r="L298" i="13" s="1"/>
  <c r="L299" i="13" s="1"/>
  <c r="L300" i="13" s="1"/>
  <c r="L288" i="13"/>
  <c r="L289" i="13" s="1"/>
  <c r="L290" i="13" s="1"/>
  <c r="L291" i="13" s="1"/>
  <c r="L292" i="13" s="1"/>
  <c r="L280" i="13"/>
  <c r="L281" i="13" s="1"/>
  <c r="L282" i="13" s="1"/>
  <c r="L283" i="13" s="1"/>
  <c r="L284" i="13" s="1"/>
  <c r="L272" i="13"/>
  <c r="L273" i="13" s="1"/>
  <c r="L274" i="13" s="1"/>
  <c r="L275" i="13" s="1"/>
  <c r="L276" i="13" s="1"/>
  <c r="L264" i="13"/>
  <c r="L265" i="13" s="1"/>
  <c r="L266" i="13" s="1"/>
  <c r="L267" i="13" s="1"/>
  <c r="L268" i="13" s="1"/>
  <c r="L256" i="13"/>
  <c r="L257" i="13" s="1"/>
  <c r="L258" i="13" s="1"/>
  <c r="L259" i="13" s="1"/>
  <c r="L260" i="13" s="1"/>
  <c r="L248" i="13"/>
  <c r="L249" i="13" s="1"/>
  <c r="L250" i="13" s="1"/>
  <c r="L251" i="13" s="1"/>
  <c r="L252" i="13" s="1"/>
  <c r="L240" i="13"/>
  <c r="L241" i="13" s="1"/>
  <c r="L242" i="13" s="1"/>
  <c r="L243" i="13" s="1"/>
  <c r="L244" i="13" s="1"/>
  <c r="L232" i="13"/>
  <c r="L233" i="13" s="1"/>
  <c r="L234" i="13" s="1"/>
  <c r="L235" i="13" s="1"/>
  <c r="L236" i="13" s="1"/>
  <c r="L224" i="13"/>
  <c r="L225" i="13" s="1"/>
  <c r="L226" i="13" s="1"/>
  <c r="L227" i="13" s="1"/>
  <c r="L228" i="13" s="1"/>
  <c r="L216" i="13"/>
  <c r="L217" i="13" s="1"/>
  <c r="L218" i="13" s="1"/>
  <c r="L219" i="13" s="1"/>
  <c r="L220" i="13" s="1"/>
  <c r="L208" i="13"/>
  <c r="L209" i="13" s="1"/>
  <c r="L210" i="13" s="1"/>
  <c r="L211" i="13" s="1"/>
  <c r="L212" i="13" s="1"/>
  <c r="L200" i="13"/>
  <c r="L201" i="13" s="1"/>
  <c r="L202" i="13" s="1"/>
  <c r="L203" i="13" s="1"/>
  <c r="L204" i="13" s="1"/>
  <c r="L192" i="13"/>
  <c r="L193" i="13" s="1"/>
  <c r="L194" i="13" s="1"/>
  <c r="L195" i="13" s="1"/>
  <c r="L196" i="13" s="1"/>
  <c r="L184" i="13"/>
  <c r="L185" i="13" s="1"/>
  <c r="L186" i="13" s="1"/>
  <c r="L187" i="13" s="1"/>
  <c r="L188" i="13" s="1"/>
  <c r="L176" i="13"/>
  <c r="L177" i="13" s="1"/>
  <c r="L178" i="13" s="1"/>
  <c r="L179" i="13" s="1"/>
  <c r="L180" i="13" s="1"/>
  <c r="L168" i="13"/>
  <c r="L169" i="13" s="1"/>
  <c r="L170" i="13" s="1"/>
  <c r="L171" i="13" s="1"/>
  <c r="L172" i="13" s="1"/>
  <c r="L160" i="13"/>
  <c r="L161" i="13" s="1"/>
  <c r="L162" i="13" s="1"/>
  <c r="L163" i="13" s="1"/>
  <c r="L164" i="13" s="1"/>
  <c r="C167" i="9"/>
  <c r="C168" i="9" s="1"/>
  <c r="C169" i="9" s="1"/>
  <c r="C170" i="9" s="1"/>
  <c r="C171" i="9" s="1"/>
  <c r="C158" i="9"/>
  <c r="C159" i="9" s="1"/>
  <c r="C160" i="9" s="1"/>
  <c r="C161" i="9" s="1"/>
  <c r="C162" i="9" s="1"/>
  <c r="C149" i="9"/>
  <c r="C150" i="9" s="1"/>
  <c r="C151" i="9" s="1"/>
  <c r="C152" i="9" s="1"/>
  <c r="C153" i="9" s="1"/>
  <c r="C140" i="9"/>
  <c r="C141" i="9" s="1"/>
  <c r="C142" i="9" s="1"/>
  <c r="C143" i="9" s="1"/>
  <c r="C144" i="9" s="1"/>
  <c r="C131" i="9"/>
  <c r="C132" i="9" s="1"/>
  <c r="C133" i="9" s="1"/>
  <c r="C134" i="9" s="1"/>
  <c r="C135" i="9" s="1"/>
  <c r="C122" i="9"/>
  <c r="C123" i="9" s="1"/>
  <c r="C124" i="9" s="1"/>
  <c r="C125" i="9" s="1"/>
  <c r="C126" i="9" s="1"/>
  <c r="H7" i="8"/>
  <c r="F199" i="4" l="1"/>
  <c r="H199" i="4" s="1"/>
  <c r="F200" i="4"/>
  <c r="H200" i="4" s="1"/>
  <c r="H31" i="3" l="1"/>
  <c r="J31" i="3" s="1"/>
  <c r="L31" i="3" s="1"/>
  <c r="N31" i="3" s="1"/>
  <c r="H19" i="3"/>
  <c r="J19" i="3" s="1"/>
  <c r="L19" i="3" s="1"/>
  <c r="N19" i="3" s="1"/>
  <c r="G12" i="2"/>
  <c r="AB79" i="14"/>
  <c r="AB78" i="14"/>
  <c r="AB77" i="14"/>
  <c r="AB76" i="14"/>
  <c r="AB75" i="14"/>
  <c r="AB74" i="14"/>
  <c r="AB73" i="14"/>
  <c r="AB72" i="14"/>
  <c r="AB71" i="14"/>
  <c r="AB70" i="14"/>
  <c r="AB69" i="14"/>
  <c r="X79" i="14"/>
  <c r="X78" i="14"/>
  <c r="X77" i="14"/>
  <c r="X76" i="14"/>
  <c r="X75" i="14"/>
  <c r="X74" i="14"/>
  <c r="X73" i="14"/>
  <c r="X72" i="14"/>
  <c r="X71" i="14"/>
  <c r="X70" i="14"/>
  <c r="X69" i="14"/>
  <c r="P79" i="14" l="1"/>
  <c r="P78" i="14"/>
  <c r="P77" i="14"/>
  <c r="P76" i="14"/>
  <c r="P75" i="14"/>
  <c r="P74" i="14"/>
  <c r="P73" i="14"/>
  <c r="P72" i="14"/>
  <c r="P71" i="14"/>
  <c r="P70" i="14"/>
  <c r="P69" i="14"/>
  <c r="M62" i="14"/>
  <c r="M61" i="14"/>
  <c r="M60" i="14"/>
  <c r="M59" i="14"/>
  <c r="M58" i="14"/>
  <c r="M57" i="14"/>
  <c r="L605" i="13"/>
  <c r="L597" i="13"/>
  <c r="L589" i="13"/>
  <c r="L581" i="13"/>
  <c r="L573" i="13"/>
  <c r="L565" i="13"/>
  <c r="L557" i="13"/>
  <c r="L549" i="13"/>
  <c r="L541" i="13"/>
  <c r="L533" i="13"/>
  <c r="L525" i="13"/>
  <c r="L517" i="13"/>
  <c r="L509" i="13"/>
  <c r="L501" i="13"/>
  <c r="L493" i="13"/>
  <c r="L485" i="13"/>
  <c r="L477" i="13"/>
  <c r="L469" i="13"/>
  <c r="L461" i="13"/>
  <c r="L453" i="13"/>
  <c r="L285" i="13"/>
  <c r="L277" i="13"/>
  <c r="L269" i="13"/>
  <c r="L261" i="13"/>
  <c r="G12" i="5" l="1"/>
  <c r="E12" i="2"/>
  <c r="H22" i="1"/>
  <c r="H21" i="1"/>
  <c r="H20" i="1"/>
  <c r="H19" i="1"/>
  <c r="H18" i="1"/>
  <c r="H17" i="1"/>
  <c r="H16" i="1"/>
  <c r="H15" i="1"/>
  <c r="H14" i="1"/>
  <c r="H13" i="1"/>
  <c r="H12" i="1"/>
  <c r="G37" i="8"/>
  <c r="G36" i="8"/>
  <c r="G35" i="8"/>
  <c r="G34" i="8"/>
  <c r="G33" i="8"/>
  <c r="F37" i="8"/>
  <c r="F36" i="8"/>
  <c r="F35" i="8"/>
  <c r="F34" i="8"/>
  <c r="F33" i="8"/>
  <c r="E37" i="8"/>
  <c r="E36" i="8"/>
  <c r="E35" i="8"/>
  <c r="E34" i="8"/>
  <c r="E33" i="8"/>
  <c r="D37" i="8"/>
  <c r="D36" i="8"/>
  <c r="D35" i="8"/>
  <c r="D34" i="8"/>
  <c r="D33" i="8"/>
  <c r="C37" i="8"/>
  <c r="C36" i="8"/>
  <c r="C35" i="8"/>
  <c r="C34" i="8"/>
  <c r="C33" i="8"/>
  <c r="G220" i="1"/>
  <c r="G219" i="1"/>
  <c r="G218" i="1"/>
  <c r="G217" i="1"/>
  <c r="G216" i="1"/>
  <c r="H221" i="4" l="1"/>
  <c r="G38" i="8" s="1"/>
  <c r="C220" i="4"/>
  <c r="B220" i="4"/>
  <c r="C219" i="4"/>
  <c r="B219" i="4"/>
  <c r="C218" i="4"/>
  <c r="B218" i="4"/>
  <c r="C217" i="4"/>
  <c r="B217" i="4"/>
  <c r="C216" i="4"/>
  <c r="B216" i="4"/>
  <c r="C220" i="5"/>
  <c r="C219" i="5"/>
  <c r="C218" i="5"/>
  <c r="C217" i="5"/>
  <c r="C216" i="5"/>
  <c r="B220" i="5"/>
  <c r="B219" i="5"/>
  <c r="B218" i="5"/>
  <c r="B217" i="5"/>
  <c r="B216" i="5"/>
  <c r="H221" i="5"/>
  <c r="F38" i="8" s="1"/>
  <c r="H221" i="6"/>
  <c r="E38" i="8" s="1"/>
  <c r="H221" i="2"/>
  <c r="C220" i="6"/>
  <c r="C219" i="6"/>
  <c r="C218" i="6"/>
  <c r="C217" i="6"/>
  <c r="B220" i="6"/>
  <c r="B219" i="6"/>
  <c r="B218" i="6"/>
  <c r="B217" i="6"/>
  <c r="B37" i="8"/>
  <c r="B36" i="8"/>
  <c r="B35" i="8"/>
  <c r="B34" i="8"/>
  <c r="C218" i="2"/>
  <c r="C217" i="2"/>
  <c r="B218" i="2"/>
  <c r="B217" i="2"/>
  <c r="C216" i="6"/>
  <c r="B216" i="6"/>
  <c r="B220" i="2"/>
  <c r="B219" i="2"/>
  <c r="B216" i="2"/>
  <c r="C219" i="2"/>
  <c r="C220" i="2"/>
  <c r="C216" i="2"/>
  <c r="B33" i="8"/>
  <c r="H210" i="1" l="1"/>
  <c r="H209" i="1"/>
  <c r="C28" i="8" s="1"/>
  <c r="H196" i="1"/>
  <c r="H195" i="1"/>
  <c r="H194" i="1"/>
  <c r="H193" i="1"/>
  <c r="H212" i="2"/>
  <c r="H212" i="1"/>
  <c r="D22" i="4"/>
  <c r="D21" i="4"/>
  <c r="D20" i="4"/>
  <c r="D19" i="4"/>
  <c r="D18" i="4"/>
  <c r="D17" i="4"/>
  <c r="D16" i="4"/>
  <c r="D15" i="4"/>
  <c r="D14" i="4"/>
  <c r="D13" i="4"/>
  <c r="D12" i="4"/>
  <c r="B22" i="4"/>
  <c r="B21" i="4"/>
  <c r="B20" i="4"/>
  <c r="B19" i="4"/>
  <c r="B18" i="4"/>
  <c r="B17" i="4"/>
  <c r="B16" i="4"/>
  <c r="B15" i="4"/>
  <c r="B14" i="4"/>
  <c r="B13" i="4"/>
  <c r="B12" i="4"/>
  <c r="D22" i="5"/>
  <c r="D21" i="5"/>
  <c r="D20" i="5"/>
  <c r="D19" i="5"/>
  <c r="D18" i="5"/>
  <c r="D17" i="5"/>
  <c r="D16" i="5"/>
  <c r="D15" i="5"/>
  <c r="D14" i="5"/>
  <c r="D13" i="5"/>
  <c r="D12" i="5"/>
  <c r="B22" i="5"/>
  <c r="B21" i="5"/>
  <c r="B20" i="5"/>
  <c r="B19" i="5"/>
  <c r="B18" i="5"/>
  <c r="B17" i="5"/>
  <c r="B16" i="5"/>
  <c r="B15" i="5"/>
  <c r="B14" i="5"/>
  <c r="B13" i="5"/>
  <c r="B12" i="5"/>
  <c r="D22" i="6"/>
  <c r="D21" i="6"/>
  <c r="D20" i="6"/>
  <c r="D19" i="6"/>
  <c r="D18" i="6"/>
  <c r="D17" i="6"/>
  <c r="D16" i="6"/>
  <c r="D15" i="6"/>
  <c r="D14" i="6"/>
  <c r="D13" i="6"/>
  <c r="D12" i="6"/>
  <c r="B22" i="6"/>
  <c r="B21" i="6"/>
  <c r="B20" i="6"/>
  <c r="B19" i="6"/>
  <c r="B18" i="6"/>
  <c r="B17" i="6"/>
  <c r="B16" i="6"/>
  <c r="B15" i="6"/>
  <c r="B14" i="6"/>
  <c r="B13" i="6"/>
  <c r="B12" i="6"/>
  <c r="D22" i="2"/>
  <c r="D21" i="2"/>
  <c r="D20" i="2"/>
  <c r="D19" i="2"/>
  <c r="D18" i="2"/>
  <c r="D17" i="2"/>
  <c r="D16" i="2"/>
  <c r="D15" i="2"/>
  <c r="D14" i="2"/>
  <c r="D13" i="2"/>
  <c r="D12" i="2"/>
  <c r="B22" i="2"/>
  <c r="B21" i="2"/>
  <c r="B20" i="2"/>
  <c r="B19" i="2"/>
  <c r="B18" i="2"/>
  <c r="B17" i="2"/>
  <c r="B16" i="2"/>
  <c r="B15" i="2"/>
  <c r="B14" i="2"/>
  <c r="B13" i="2"/>
  <c r="B12" i="2"/>
  <c r="C25" i="8" l="1"/>
  <c r="E155" i="6" l="1"/>
  <c r="E154" i="1"/>
  <c r="E124" i="4"/>
  <c r="E121" i="4"/>
  <c r="E118" i="4"/>
  <c r="E124" i="5"/>
  <c r="E121" i="5"/>
  <c r="E118" i="5"/>
  <c r="E124" i="6"/>
  <c r="E121" i="6"/>
  <c r="E118" i="6"/>
  <c r="E124" i="2"/>
  <c r="E121" i="2"/>
  <c r="E118" i="2"/>
  <c r="F125" i="1"/>
  <c r="F122" i="1"/>
  <c r="E124" i="1"/>
  <c r="E121" i="1"/>
  <c r="F119" i="1"/>
  <c r="D124" i="4"/>
  <c r="D121" i="4"/>
  <c r="D118" i="4"/>
  <c r="D124" i="5"/>
  <c r="D121" i="5"/>
  <c r="D118" i="5"/>
  <c r="D124" i="6"/>
  <c r="D121" i="6"/>
  <c r="D118" i="6"/>
  <c r="D124" i="2"/>
  <c r="D121" i="2"/>
  <c r="D118" i="2"/>
  <c r="G126" i="4"/>
  <c r="G125" i="4"/>
  <c r="B124" i="4"/>
  <c r="G123" i="4"/>
  <c r="G122" i="4"/>
  <c r="B121" i="4"/>
  <c r="G126" i="5"/>
  <c r="G125" i="5"/>
  <c r="B124" i="5"/>
  <c r="G123" i="5"/>
  <c r="G122" i="5"/>
  <c r="B121" i="5"/>
  <c r="G126" i="6"/>
  <c r="G125" i="6"/>
  <c r="B124" i="6"/>
  <c r="G123" i="6"/>
  <c r="G122" i="6"/>
  <c r="B121" i="6"/>
  <c r="G126" i="2"/>
  <c r="G125" i="2"/>
  <c r="B124" i="2"/>
  <c r="G123" i="2"/>
  <c r="G122" i="2"/>
  <c r="B121" i="2"/>
  <c r="AB11" i="14"/>
  <c r="AB18" i="14" s="1"/>
  <c r="AB26" i="14" s="1"/>
  <c r="AB35" i="14" s="1"/>
  <c r="AB45" i="14" s="1"/>
  <c r="AB56" i="14" s="1"/>
  <c r="AB68" i="14" s="1"/>
  <c r="AB81" i="14" s="1"/>
  <c r="X26" i="14"/>
  <c r="X35" i="14" s="1"/>
  <c r="X45" i="14" s="1"/>
  <c r="X56" i="14" s="1"/>
  <c r="X68" i="14" s="1"/>
  <c r="X81" i="14" s="1"/>
  <c r="X95" i="14" s="1"/>
  <c r="X11" i="14"/>
  <c r="C74" i="2"/>
  <c r="C74" i="6" s="1"/>
  <c r="C74" i="5" s="1"/>
  <c r="C74" i="4" s="1"/>
  <c r="C66" i="2"/>
  <c r="C66" i="6" s="1"/>
  <c r="C66" i="5" s="1"/>
  <c r="C66" i="4" s="1"/>
  <c r="C58" i="2"/>
  <c r="C58" i="6" s="1"/>
  <c r="C58" i="5" s="1"/>
  <c r="C58" i="4" s="1"/>
  <c r="C50" i="2"/>
  <c r="C50" i="6" s="1"/>
  <c r="C50" i="5" s="1"/>
  <c r="C50" i="4" s="1"/>
  <c r="C42" i="2"/>
  <c r="C42" i="6" s="1"/>
  <c r="C42" i="5" s="1"/>
  <c r="C42" i="4" s="1"/>
  <c r="C34" i="2"/>
  <c r="C34" i="6" s="1"/>
  <c r="C34" i="5" s="1"/>
  <c r="C34" i="4" s="1"/>
  <c r="C26" i="2"/>
  <c r="C26" i="6" s="1"/>
  <c r="C26" i="5" s="1"/>
  <c r="C26" i="4" s="1"/>
  <c r="G147" i="4" l="1"/>
  <c r="G146" i="4"/>
  <c r="G144" i="4"/>
  <c r="G143" i="4"/>
  <c r="G141" i="4"/>
  <c r="G140" i="4"/>
  <c r="G138" i="4"/>
  <c r="G137" i="4"/>
  <c r="G135" i="4"/>
  <c r="G134" i="4"/>
  <c r="G132" i="4"/>
  <c r="G131" i="4"/>
  <c r="G129" i="4"/>
  <c r="G128" i="4"/>
  <c r="G120" i="4"/>
  <c r="G119" i="4"/>
  <c r="G116" i="4"/>
  <c r="G115" i="4"/>
  <c r="G114" i="4"/>
  <c r="G112" i="4"/>
  <c r="G111" i="4"/>
  <c r="G110" i="4"/>
  <c r="G108" i="4"/>
  <c r="G107" i="4"/>
  <c r="G106" i="4"/>
  <c r="G104" i="4"/>
  <c r="G103" i="4"/>
  <c r="G102" i="4"/>
  <c r="G98" i="4"/>
  <c r="G97" i="4"/>
  <c r="G96" i="4"/>
  <c r="G95" i="4"/>
  <c r="G94" i="4"/>
  <c r="G93" i="4"/>
  <c r="G92" i="4"/>
  <c r="G91" i="4"/>
  <c r="G90" i="4"/>
  <c r="G89" i="4"/>
  <c r="G88" i="4"/>
  <c r="G87" i="4"/>
  <c r="G85" i="4"/>
  <c r="G84" i="4"/>
  <c r="G147" i="5"/>
  <c r="G146" i="5"/>
  <c r="G144" i="5"/>
  <c r="G143" i="5"/>
  <c r="G141" i="5"/>
  <c r="G140" i="5"/>
  <c r="G138" i="5"/>
  <c r="G137" i="5"/>
  <c r="G135" i="5"/>
  <c r="G134" i="5"/>
  <c r="G132" i="5"/>
  <c r="G131" i="5"/>
  <c r="G129" i="5"/>
  <c r="G128" i="5"/>
  <c r="G120" i="5"/>
  <c r="G119" i="5"/>
  <c r="G116" i="5"/>
  <c r="G115" i="5"/>
  <c r="G114" i="5"/>
  <c r="G112" i="5"/>
  <c r="G111" i="5"/>
  <c r="G110" i="5"/>
  <c r="G108" i="5"/>
  <c r="G107" i="5"/>
  <c r="G106" i="5"/>
  <c r="G104" i="5"/>
  <c r="G103" i="5"/>
  <c r="G102" i="5"/>
  <c r="G85" i="5"/>
  <c r="G84" i="5"/>
  <c r="G98" i="5"/>
  <c r="G97" i="5"/>
  <c r="G96" i="5"/>
  <c r="G95" i="5"/>
  <c r="G94" i="5"/>
  <c r="G93" i="5"/>
  <c r="G92" i="5"/>
  <c r="G91" i="5"/>
  <c r="G90" i="5"/>
  <c r="G89" i="5"/>
  <c r="G88" i="5"/>
  <c r="G87" i="5"/>
  <c r="E200" i="6"/>
  <c r="G147" i="6"/>
  <c r="G146" i="6"/>
  <c r="G144" i="6"/>
  <c r="G143" i="6"/>
  <c r="G141" i="6"/>
  <c r="G140" i="6"/>
  <c r="G138" i="6"/>
  <c r="G137" i="6"/>
  <c r="G135" i="6"/>
  <c r="G134" i="6"/>
  <c r="G132" i="6"/>
  <c r="G131" i="6"/>
  <c r="G129" i="6"/>
  <c r="G128" i="6"/>
  <c r="G120" i="6"/>
  <c r="G119" i="6"/>
  <c r="G116" i="6"/>
  <c r="G115" i="6"/>
  <c r="G114" i="6"/>
  <c r="G112" i="6"/>
  <c r="G111" i="6"/>
  <c r="G110" i="6"/>
  <c r="G108" i="6"/>
  <c r="G107" i="6"/>
  <c r="G106" i="6"/>
  <c r="G104" i="6"/>
  <c r="G103" i="6"/>
  <c r="G102" i="6"/>
  <c r="G98" i="6"/>
  <c r="G97" i="6"/>
  <c r="G96" i="6"/>
  <c r="G95" i="6"/>
  <c r="G94" i="6"/>
  <c r="G93" i="6"/>
  <c r="G92" i="6"/>
  <c r="G91" i="6"/>
  <c r="G90" i="6"/>
  <c r="G89" i="6"/>
  <c r="G88" i="6"/>
  <c r="G87" i="6"/>
  <c r="E156" i="2"/>
  <c r="E155" i="2"/>
  <c r="G147" i="2"/>
  <c r="G146" i="2"/>
  <c r="G144" i="2"/>
  <c r="G143" i="2"/>
  <c r="G141" i="2"/>
  <c r="G140" i="2"/>
  <c r="G138" i="2"/>
  <c r="G137" i="2"/>
  <c r="G135" i="2"/>
  <c r="G134" i="2"/>
  <c r="G132" i="2"/>
  <c r="G131" i="2"/>
  <c r="G129" i="2"/>
  <c r="G128" i="2"/>
  <c r="G120" i="2"/>
  <c r="G119" i="2"/>
  <c r="G116" i="2"/>
  <c r="G115" i="2"/>
  <c r="G114" i="2"/>
  <c r="G112" i="2"/>
  <c r="G111" i="2"/>
  <c r="G110" i="2"/>
  <c r="G108" i="2"/>
  <c r="G107" i="2"/>
  <c r="G106" i="2"/>
  <c r="G104" i="2"/>
  <c r="G103" i="2"/>
  <c r="G102" i="2"/>
  <c r="G98" i="2"/>
  <c r="G97" i="2"/>
  <c r="G96" i="2"/>
  <c r="G95" i="2"/>
  <c r="G94" i="2"/>
  <c r="G93" i="2"/>
  <c r="G92" i="2"/>
  <c r="G91" i="2"/>
  <c r="G90" i="2"/>
  <c r="G89" i="2"/>
  <c r="G88" i="2"/>
  <c r="G87" i="2"/>
  <c r="G85" i="2"/>
  <c r="G84" i="2"/>
  <c r="G85" i="6"/>
  <c r="G84" i="6"/>
  <c r="E12" i="6"/>
  <c r="B83" i="6"/>
  <c r="C73" i="2"/>
  <c r="C73" i="6"/>
  <c r="C65" i="6"/>
  <c r="C49" i="6"/>
  <c r="C41" i="6"/>
  <c r="C33" i="6"/>
  <c r="F22" i="2"/>
  <c r="F21" i="2"/>
  <c r="F20" i="2"/>
  <c r="F19" i="2"/>
  <c r="F18" i="2"/>
  <c r="F17" i="2"/>
  <c r="F16" i="2"/>
  <c r="F15" i="2"/>
  <c r="F14" i="2"/>
  <c r="F13" i="2"/>
  <c r="E22" i="2"/>
  <c r="E21" i="2"/>
  <c r="E20" i="2"/>
  <c r="E19" i="2"/>
  <c r="E18" i="2"/>
  <c r="E17" i="2"/>
  <c r="E16" i="2"/>
  <c r="E15" i="2"/>
  <c r="E14" i="2"/>
  <c r="E13" i="2"/>
  <c r="B145" i="4"/>
  <c r="B142" i="4"/>
  <c r="B139" i="4"/>
  <c r="B136" i="4"/>
  <c r="B133" i="4"/>
  <c r="B130" i="4"/>
  <c r="B127" i="4"/>
  <c r="B118" i="4"/>
  <c r="B113" i="4"/>
  <c r="B109" i="4"/>
  <c r="B105" i="4"/>
  <c r="B101" i="4"/>
  <c r="B145" i="5"/>
  <c r="B142" i="5"/>
  <c r="B139" i="5"/>
  <c r="B136" i="5"/>
  <c r="B133" i="5"/>
  <c r="B130" i="5"/>
  <c r="B127" i="5"/>
  <c r="B118" i="5"/>
  <c r="B113" i="5"/>
  <c r="B109" i="5"/>
  <c r="B105" i="5"/>
  <c r="B101" i="5"/>
  <c r="B145" i="6"/>
  <c r="B142" i="6"/>
  <c r="B139" i="6"/>
  <c r="B136" i="6"/>
  <c r="B133" i="6"/>
  <c r="B130" i="6"/>
  <c r="B127" i="6"/>
  <c r="B118" i="6"/>
  <c r="B113" i="6"/>
  <c r="B109" i="6"/>
  <c r="B105" i="6"/>
  <c r="B101" i="6"/>
  <c r="B145" i="2"/>
  <c r="B142" i="2"/>
  <c r="B139" i="2"/>
  <c r="B136" i="2"/>
  <c r="B133" i="2"/>
  <c r="B130" i="2"/>
  <c r="B127" i="2"/>
  <c r="B118" i="2"/>
  <c r="B113" i="2"/>
  <c r="B109" i="2"/>
  <c r="B105" i="2"/>
  <c r="B101" i="2"/>
  <c r="E98" i="4"/>
  <c r="B98" i="4"/>
  <c r="E97" i="4"/>
  <c r="B97" i="4"/>
  <c r="E96" i="4"/>
  <c r="B96" i="4"/>
  <c r="E95" i="4"/>
  <c r="B95" i="4"/>
  <c r="E94" i="4"/>
  <c r="B94" i="4"/>
  <c r="E93" i="4"/>
  <c r="B93" i="4"/>
  <c r="E92" i="4"/>
  <c r="B92" i="4"/>
  <c r="F91" i="4"/>
  <c r="E91" i="4"/>
  <c r="B91" i="4"/>
  <c r="F90" i="4"/>
  <c r="E90" i="4"/>
  <c r="B90" i="4"/>
  <c r="F89" i="4"/>
  <c r="E89" i="4"/>
  <c r="B89" i="4"/>
  <c r="E98" i="5"/>
  <c r="B98" i="5"/>
  <c r="E97" i="5"/>
  <c r="B97" i="5"/>
  <c r="E96" i="5"/>
  <c r="B96" i="5"/>
  <c r="E95" i="5"/>
  <c r="B95" i="5"/>
  <c r="E94" i="5"/>
  <c r="B94" i="5"/>
  <c r="E93" i="5"/>
  <c r="B93" i="5"/>
  <c r="E92" i="5"/>
  <c r="B92" i="5"/>
  <c r="F91" i="5"/>
  <c r="E91" i="5"/>
  <c r="B91" i="5"/>
  <c r="F90" i="5"/>
  <c r="E90" i="5"/>
  <c r="B90" i="5"/>
  <c r="F89" i="5"/>
  <c r="E89" i="5"/>
  <c r="B89" i="5"/>
  <c r="E98" i="6"/>
  <c r="E97" i="6"/>
  <c r="E96" i="6"/>
  <c r="E95" i="6"/>
  <c r="E94" i="6"/>
  <c r="E93" i="6"/>
  <c r="E92" i="6"/>
  <c r="F91" i="6"/>
  <c r="E91" i="6"/>
  <c r="F90" i="6"/>
  <c r="E90" i="6"/>
  <c r="F89" i="6"/>
  <c r="E89" i="6"/>
  <c r="F91" i="2"/>
  <c r="F90" i="2"/>
  <c r="F89" i="2"/>
  <c r="E98" i="2"/>
  <c r="E97" i="2"/>
  <c r="E96" i="2"/>
  <c r="E95" i="2"/>
  <c r="E94" i="2"/>
  <c r="E93" i="2"/>
  <c r="E92" i="2"/>
  <c r="E91" i="2"/>
  <c r="E90" i="2"/>
  <c r="E89" i="2"/>
  <c r="B98" i="6"/>
  <c r="B97" i="6"/>
  <c r="B96" i="6"/>
  <c r="B95" i="6"/>
  <c r="B94" i="6"/>
  <c r="B93" i="6"/>
  <c r="B92" i="6"/>
  <c r="B91" i="6"/>
  <c r="B90" i="6"/>
  <c r="B89" i="6"/>
  <c r="B98" i="2"/>
  <c r="B97" i="2"/>
  <c r="B96" i="2"/>
  <c r="B95" i="2"/>
  <c r="B94" i="2"/>
  <c r="B93" i="2"/>
  <c r="B92" i="2"/>
  <c r="B91" i="2"/>
  <c r="B90" i="2"/>
  <c r="B89" i="2"/>
  <c r="D145" i="2"/>
  <c r="D142" i="2"/>
  <c r="D139" i="2"/>
  <c r="D136" i="2"/>
  <c r="D133" i="2"/>
  <c r="D130" i="2"/>
  <c r="D127" i="2"/>
  <c r="D113" i="2"/>
  <c r="D109" i="2"/>
  <c r="D105" i="2"/>
  <c r="D101" i="2"/>
  <c r="D145" i="6" l="1"/>
  <c r="D145" i="5" s="1"/>
  <c r="D145" i="4" s="1"/>
  <c r="D142" i="6"/>
  <c r="D142" i="5" s="1"/>
  <c r="D142" i="4" s="1"/>
  <c r="D139" i="6"/>
  <c r="D139" i="5" s="1"/>
  <c r="D139" i="4" s="1"/>
  <c r="D136" i="6"/>
  <c r="D136" i="5" s="1"/>
  <c r="D136" i="4" s="1"/>
  <c r="D133" i="6"/>
  <c r="D133" i="5" s="1"/>
  <c r="D133" i="4" s="1"/>
  <c r="D130" i="6"/>
  <c r="D130" i="5" s="1"/>
  <c r="D130" i="4" s="1"/>
  <c r="D127" i="6"/>
  <c r="D127" i="5" s="1"/>
  <c r="D127" i="4" s="1"/>
  <c r="D113" i="6"/>
  <c r="D109" i="6"/>
  <c r="D105" i="6"/>
  <c r="D101" i="6"/>
  <c r="D109" i="5" l="1"/>
  <c r="E109" i="5" s="1"/>
  <c r="D113" i="5"/>
  <c r="E113" i="5" s="1"/>
  <c r="D105" i="5"/>
  <c r="D101" i="5"/>
  <c r="E101" i="5" s="1"/>
  <c r="E145" i="4"/>
  <c r="E142" i="4"/>
  <c r="E139" i="4"/>
  <c r="E136" i="4"/>
  <c r="E133" i="4"/>
  <c r="E130" i="4"/>
  <c r="E127" i="4"/>
  <c r="H98" i="4"/>
  <c r="H97" i="4"/>
  <c r="H96" i="4"/>
  <c r="H95" i="4"/>
  <c r="H94" i="4"/>
  <c r="H93" i="4"/>
  <c r="H92" i="4"/>
  <c r="H91" i="4"/>
  <c r="H90" i="4"/>
  <c r="H89" i="4"/>
  <c r="G79" i="4"/>
  <c r="G78" i="4"/>
  <c r="G77" i="4"/>
  <c r="G76" i="4"/>
  <c r="G75" i="4"/>
  <c r="C73" i="4"/>
  <c r="G71" i="4"/>
  <c r="G70" i="4"/>
  <c r="G69" i="4"/>
  <c r="G68" i="4"/>
  <c r="G67" i="4"/>
  <c r="C65" i="4"/>
  <c r="G63" i="4"/>
  <c r="G62" i="4"/>
  <c r="G61" i="4"/>
  <c r="G60" i="4"/>
  <c r="G59" i="4"/>
  <c r="C57" i="4"/>
  <c r="G55" i="4"/>
  <c r="G54" i="4"/>
  <c r="G53" i="4"/>
  <c r="G52" i="4"/>
  <c r="G51" i="4"/>
  <c r="C49" i="4"/>
  <c r="G47" i="4"/>
  <c r="G46" i="4"/>
  <c r="G45" i="4"/>
  <c r="G44" i="4"/>
  <c r="G43" i="4"/>
  <c r="C41" i="4"/>
  <c r="G22" i="4"/>
  <c r="C22" i="4"/>
  <c r="E145" i="5"/>
  <c r="E142" i="5"/>
  <c r="E139" i="5"/>
  <c r="E136" i="5"/>
  <c r="E133" i="5"/>
  <c r="E130" i="5"/>
  <c r="E127" i="5"/>
  <c r="H98" i="5"/>
  <c r="H97" i="5"/>
  <c r="H96" i="5"/>
  <c r="H95" i="5"/>
  <c r="H94" i="5"/>
  <c r="H93" i="5"/>
  <c r="H92" i="5"/>
  <c r="H91" i="5"/>
  <c r="H90" i="5"/>
  <c r="H89" i="5"/>
  <c r="G79" i="5"/>
  <c r="G78" i="5"/>
  <c r="G77" i="5"/>
  <c r="G76" i="5"/>
  <c r="G75" i="5"/>
  <c r="C73" i="5"/>
  <c r="G71" i="5"/>
  <c r="G70" i="5"/>
  <c r="G69" i="5"/>
  <c r="G68" i="5"/>
  <c r="G67" i="5"/>
  <c r="C65" i="5"/>
  <c r="G63" i="5"/>
  <c r="G62" i="5"/>
  <c r="G61" i="5"/>
  <c r="G60" i="5"/>
  <c r="G59" i="5"/>
  <c r="C57" i="5"/>
  <c r="G55" i="5"/>
  <c r="G54" i="5"/>
  <c r="G53" i="5"/>
  <c r="G52" i="5"/>
  <c r="G51" i="5"/>
  <c r="C49" i="5"/>
  <c r="G47" i="5"/>
  <c r="G46" i="5"/>
  <c r="G45" i="5"/>
  <c r="G44" i="5"/>
  <c r="G43" i="5"/>
  <c r="C41" i="5"/>
  <c r="G22" i="5"/>
  <c r="E22" i="5"/>
  <c r="C22" i="5"/>
  <c r="G21" i="5"/>
  <c r="E21" i="5"/>
  <c r="C21" i="5"/>
  <c r="G20" i="5"/>
  <c r="E20" i="5"/>
  <c r="C20" i="5"/>
  <c r="G19" i="5"/>
  <c r="E19" i="5"/>
  <c r="C19" i="5"/>
  <c r="G18" i="5"/>
  <c r="E18" i="5"/>
  <c r="C18" i="5"/>
  <c r="G17" i="5"/>
  <c r="E17" i="5"/>
  <c r="C17" i="5"/>
  <c r="G16" i="5"/>
  <c r="E16" i="5"/>
  <c r="C16" i="5"/>
  <c r="G15" i="5"/>
  <c r="E15" i="5"/>
  <c r="C15" i="5"/>
  <c r="G14" i="5"/>
  <c r="E14" i="5"/>
  <c r="C14" i="5"/>
  <c r="G13" i="5"/>
  <c r="E13" i="5"/>
  <c r="C13" i="5"/>
  <c r="E12" i="5"/>
  <c r="C12" i="5"/>
  <c r="E145" i="6"/>
  <c r="E142" i="6"/>
  <c r="E139" i="6"/>
  <c r="E136" i="6"/>
  <c r="E133" i="6"/>
  <c r="E130" i="6"/>
  <c r="E127" i="6"/>
  <c r="E113" i="6"/>
  <c r="E109" i="6"/>
  <c r="E105" i="6"/>
  <c r="E101" i="6"/>
  <c r="H98" i="6"/>
  <c r="H97" i="6"/>
  <c r="H96" i="6"/>
  <c r="H95" i="6"/>
  <c r="H94" i="6"/>
  <c r="H93" i="6"/>
  <c r="H92" i="6"/>
  <c r="H91" i="6"/>
  <c r="H90" i="6"/>
  <c r="H89" i="6"/>
  <c r="G79" i="6"/>
  <c r="G78" i="6"/>
  <c r="G77" i="6"/>
  <c r="G76" i="6"/>
  <c r="G75" i="6"/>
  <c r="G71" i="6"/>
  <c r="G70" i="6"/>
  <c r="G69" i="6"/>
  <c r="G68" i="6"/>
  <c r="G67" i="6"/>
  <c r="G63" i="6"/>
  <c r="G62" i="6"/>
  <c r="G61" i="6"/>
  <c r="G60" i="6"/>
  <c r="G59" i="6"/>
  <c r="G55" i="6"/>
  <c r="G54" i="6"/>
  <c r="G53" i="6"/>
  <c r="G52" i="6"/>
  <c r="G51" i="6"/>
  <c r="G47" i="6"/>
  <c r="G46" i="6"/>
  <c r="G45" i="6"/>
  <c r="G44" i="6"/>
  <c r="G43" i="6"/>
  <c r="G22" i="6"/>
  <c r="E22" i="6"/>
  <c r="C22" i="6"/>
  <c r="E145" i="2"/>
  <c r="E142" i="2"/>
  <c r="E139" i="2"/>
  <c r="E136" i="2"/>
  <c r="E133" i="2"/>
  <c r="E130" i="2"/>
  <c r="E127" i="2"/>
  <c r="E113" i="2"/>
  <c r="E109" i="2"/>
  <c r="E105" i="2"/>
  <c r="E101" i="2"/>
  <c r="H98" i="2"/>
  <c r="H97" i="2"/>
  <c r="H96" i="2"/>
  <c r="H95" i="2"/>
  <c r="H94" i="2"/>
  <c r="H93" i="2"/>
  <c r="H92" i="2"/>
  <c r="H91" i="2"/>
  <c r="H90" i="2"/>
  <c r="H89" i="2"/>
  <c r="G79" i="2"/>
  <c r="G78" i="2"/>
  <c r="G77" i="2"/>
  <c r="G76" i="2"/>
  <c r="G75" i="2"/>
  <c r="B83" i="2"/>
  <c r="C83" i="2"/>
  <c r="B86" i="2"/>
  <c r="C86" i="2"/>
  <c r="G71" i="2"/>
  <c r="G70" i="2"/>
  <c r="G69" i="2"/>
  <c r="G68" i="2"/>
  <c r="G67" i="2"/>
  <c r="C65" i="2"/>
  <c r="G63" i="2"/>
  <c r="G62" i="2"/>
  <c r="G61" i="2"/>
  <c r="G60" i="2"/>
  <c r="G59" i="2"/>
  <c r="C57" i="2"/>
  <c r="G55" i="2"/>
  <c r="G54" i="2"/>
  <c r="G53" i="2"/>
  <c r="G52" i="2"/>
  <c r="G51" i="2"/>
  <c r="C49" i="2"/>
  <c r="G47" i="2"/>
  <c r="G46" i="2"/>
  <c r="G45" i="2"/>
  <c r="G44" i="2"/>
  <c r="G43" i="2"/>
  <c r="C41" i="2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21" i="6"/>
  <c r="E21" i="6"/>
  <c r="C21" i="6"/>
  <c r="G20" i="6"/>
  <c r="E20" i="6"/>
  <c r="C20" i="6"/>
  <c r="G19" i="6"/>
  <c r="E19" i="6"/>
  <c r="C19" i="6"/>
  <c r="G18" i="6"/>
  <c r="E18" i="6"/>
  <c r="C18" i="6"/>
  <c r="G17" i="6"/>
  <c r="E17" i="6"/>
  <c r="C17" i="6"/>
  <c r="G16" i="6"/>
  <c r="E16" i="6"/>
  <c r="C16" i="6"/>
  <c r="C14" i="6"/>
  <c r="G15" i="6"/>
  <c r="E15" i="6"/>
  <c r="C15" i="6"/>
  <c r="G14" i="6"/>
  <c r="E14" i="6"/>
  <c r="G22" i="2"/>
  <c r="H22" i="2" s="1"/>
  <c r="F22" i="6"/>
  <c r="C22" i="2"/>
  <c r="G21" i="2"/>
  <c r="H21" i="2" s="1"/>
  <c r="F21" i="6"/>
  <c r="C21" i="2"/>
  <c r="G20" i="2"/>
  <c r="H20" i="2" s="1"/>
  <c r="F20" i="6"/>
  <c r="C20" i="2"/>
  <c r="G19" i="2"/>
  <c r="H19" i="2" s="1"/>
  <c r="F19" i="6"/>
  <c r="C19" i="2"/>
  <c r="G18" i="2"/>
  <c r="H18" i="2" s="1"/>
  <c r="F18" i="6"/>
  <c r="C18" i="2"/>
  <c r="G17" i="2"/>
  <c r="H17" i="2" s="1"/>
  <c r="F17" i="6"/>
  <c r="C17" i="2"/>
  <c r="G16" i="2"/>
  <c r="H16" i="2" s="1"/>
  <c r="F16" i="6"/>
  <c r="C16" i="2"/>
  <c r="G15" i="2"/>
  <c r="H15" i="2" s="1"/>
  <c r="F15" i="6"/>
  <c r="C15" i="2"/>
  <c r="G14" i="2"/>
  <c r="H14" i="2" s="1"/>
  <c r="F12" i="2"/>
  <c r="H12" i="2" s="1"/>
  <c r="C14" i="2"/>
  <c r="H96" i="1"/>
  <c r="H94" i="1"/>
  <c r="H93" i="1"/>
  <c r="H91" i="1"/>
  <c r="H90" i="1"/>
  <c r="E145" i="1"/>
  <c r="E142" i="1"/>
  <c r="E139" i="1"/>
  <c r="E136" i="1"/>
  <c r="E133" i="1"/>
  <c r="E130" i="1"/>
  <c r="E127" i="1"/>
  <c r="E113" i="1"/>
  <c r="E109" i="1"/>
  <c r="E105" i="1"/>
  <c r="T12" i="14"/>
  <c r="T26" i="14" s="1"/>
  <c r="T42" i="14" s="1"/>
  <c r="T60" i="14" s="1"/>
  <c r="T80" i="14" s="1"/>
  <c r="T102" i="14" s="1"/>
  <c r="T126" i="14" s="1"/>
  <c r="T150" i="14" s="1"/>
  <c r="H21" i="6" l="1"/>
  <c r="H17" i="6"/>
  <c r="H15" i="6"/>
  <c r="H19" i="6"/>
  <c r="H18" i="6"/>
  <c r="H22" i="6"/>
  <c r="H20" i="6"/>
  <c r="H16" i="6"/>
  <c r="F18" i="5"/>
  <c r="H18" i="5" s="1"/>
  <c r="F16" i="5"/>
  <c r="H16" i="5" s="1"/>
  <c r="F20" i="5"/>
  <c r="H20" i="5" s="1"/>
  <c r="F19" i="5"/>
  <c r="H19" i="5" s="1"/>
  <c r="F17" i="5"/>
  <c r="H17" i="5" s="1"/>
  <c r="F21" i="5"/>
  <c r="H21" i="5" s="1"/>
  <c r="F22" i="5"/>
  <c r="H22" i="5" s="1"/>
  <c r="F15" i="5"/>
  <c r="H15" i="5" s="1"/>
  <c r="D105" i="4"/>
  <c r="E105" i="5"/>
  <c r="D113" i="4"/>
  <c r="D109" i="4"/>
  <c r="D101" i="4"/>
  <c r="T11" i="14"/>
  <c r="T25" i="14" s="1"/>
  <c r="T41" i="14" s="1"/>
  <c r="T59" i="14" s="1"/>
  <c r="T79" i="14" s="1"/>
  <c r="T101" i="14" s="1"/>
  <c r="T125" i="14" s="1"/>
  <c r="T149" i="14" s="1"/>
  <c r="F21" i="4" l="1"/>
  <c r="H21" i="4" s="1"/>
  <c r="F18" i="4"/>
  <c r="H18" i="4" s="1"/>
  <c r="F16" i="4"/>
  <c r="H16" i="4" s="1"/>
  <c r="F15" i="4"/>
  <c r="H15" i="4" s="1"/>
  <c r="F17" i="4"/>
  <c r="H17" i="4" s="1"/>
  <c r="F20" i="4"/>
  <c r="H20" i="4" s="1"/>
  <c r="F19" i="4"/>
  <c r="H19" i="4" s="1"/>
  <c r="F22" i="4"/>
  <c r="H22" i="4" s="1"/>
  <c r="E109" i="4"/>
  <c r="E113" i="4"/>
  <c r="E105" i="4"/>
  <c r="E101" i="4"/>
  <c r="E101" i="1"/>
  <c r="P17" i="14" l="1"/>
  <c r="P16" i="14"/>
  <c r="P15" i="14"/>
  <c r="P14" i="14"/>
  <c r="P13" i="14"/>
  <c r="P12" i="14"/>
  <c r="P18" i="14"/>
  <c r="P11" i="14"/>
  <c r="P26" i="14" l="1"/>
  <c r="P20" i="14"/>
  <c r="P21" i="14"/>
  <c r="P22" i="14"/>
  <c r="P23" i="14"/>
  <c r="P24" i="14"/>
  <c r="P27" i="14"/>
  <c r="P28" i="14"/>
  <c r="P29" i="14"/>
  <c r="P30" i="14"/>
  <c r="P31" i="14"/>
  <c r="P32" i="14"/>
  <c r="P36" i="14"/>
  <c r="P37" i="14"/>
  <c r="P38" i="14"/>
  <c r="P39" i="14"/>
  <c r="P40" i="14"/>
  <c r="P41" i="14"/>
  <c r="P52" i="14" s="1"/>
  <c r="P46" i="14"/>
  <c r="P47" i="14"/>
  <c r="P48" i="14"/>
  <c r="P49" i="14"/>
  <c r="P50" i="14"/>
  <c r="P51" i="14"/>
  <c r="P57" i="14"/>
  <c r="P58" i="14"/>
  <c r="P59" i="14"/>
  <c r="P60" i="14"/>
  <c r="P61" i="14"/>
  <c r="P62" i="14"/>
  <c r="P19" i="14"/>
  <c r="F162" i="1"/>
  <c r="H60" i="13"/>
  <c r="K5" i="12"/>
  <c r="E226" i="1"/>
  <c r="E224" i="1"/>
  <c r="D227" i="1"/>
  <c r="D226" i="1"/>
  <c r="D225" i="1"/>
  <c r="D224" i="1"/>
  <c r="H129" i="9"/>
  <c r="H128" i="9"/>
  <c r="H127" i="9"/>
  <c r="H126" i="9"/>
  <c r="H124" i="9"/>
  <c r="H123" i="9"/>
  <c r="H122" i="9"/>
  <c r="H121" i="9"/>
  <c r="H120" i="9"/>
  <c r="H119" i="9"/>
  <c r="H118" i="9"/>
  <c r="H117" i="9"/>
  <c r="H116" i="9"/>
  <c r="H115" i="9"/>
  <c r="H114" i="9"/>
  <c r="H112" i="9"/>
  <c r="F161" i="1"/>
  <c r="F160" i="1"/>
  <c r="F159" i="1"/>
  <c r="D161" i="1"/>
  <c r="D159" i="1"/>
  <c r="D160" i="1"/>
  <c r="F158" i="1"/>
  <c r="D158" i="1"/>
  <c r="H99" i="9"/>
  <c r="H98" i="9"/>
  <c r="H97" i="9"/>
  <c r="H96" i="9"/>
  <c r="H95" i="9"/>
  <c r="H94" i="9"/>
  <c r="H93" i="9"/>
  <c r="H92" i="9"/>
  <c r="H91" i="9"/>
  <c r="H90" i="9"/>
  <c r="H88" i="9"/>
  <c r="H87" i="9"/>
  <c r="H86" i="9"/>
  <c r="H85" i="9"/>
  <c r="H84" i="9"/>
  <c r="H83" i="9"/>
  <c r="H82" i="9"/>
  <c r="H81" i="9"/>
  <c r="H80" i="9"/>
  <c r="H79" i="9"/>
  <c r="H78" i="9"/>
  <c r="H76" i="9"/>
  <c r="H75" i="9"/>
  <c r="H74" i="9"/>
  <c r="H73" i="9"/>
  <c r="H72" i="9"/>
  <c r="H71" i="9"/>
  <c r="H70" i="9"/>
  <c r="H69" i="9"/>
  <c r="H68" i="9"/>
  <c r="H67" i="9"/>
  <c r="H66" i="9"/>
  <c r="H64" i="9"/>
  <c r="H63" i="9"/>
  <c r="H62" i="9"/>
  <c r="H61" i="9"/>
  <c r="H60" i="9"/>
  <c r="H59" i="9"/>
  <c r="H58" i="9"/>
  <c r="H57" i="9"/>
  <c r="H56" i="9"/>
  <c r="H55" i="9"/>
  <c r="H54" i="9"/>
  <c r="H52" i="9"/>
  <c r="E225" i="1" s="1"/>
  <c r="H40" i="9"/>
  <c r="E227" i="1" l="1"/>
  <c r="P35" i="14"/>
  <c r="H15" i="3"/>
  <c r="J15" i="3" s="1"/>
  <c r="L15" i="3" s="1"/>
  <c r="N15" i="3" s="1"/>
  <c r="H14" i="3"/>
  <c r="J14" i="3" s="1"/>
  <c r="L14" i="3" s="1"/>
  <c r="N14" i="3" s="1"/>
  <c r="H13" i="3"/>
  <c r="J13" i="3" s="1"/>
  <c r="L13" i="3" s="1"/>
  <c r="N13" i="3" s="1"/>
  <c r="H12" i="3"/>
  <c r="J12" i="3" s="1"/>
  <c r="L12" i="3" s="1"/>
  <c r="N12" i="3" s="1"/>
  <c r="H11" i="3"/>
  <c r="J11" i="3" s="1"/>
  <c r="L11" i="3" s="1"/>
  <c r="N11" i="3" s="1"/>
  <c r="H10" i="3"/>
  <c r="J10" i="3" s="1"/>
  <c r="L10" i="3" s="1"/>
  <c r="N10" i="3" s="1"/>
  <c r="B86" i="4"/>
  <c r="B86" i="5"/>
  <c r="B86" i="6"/>
  <c r="C83" i="4"/>
  <c r="B83" i="5"/>
  <c r="C86" i="5"/>
  <c r="C83" i="5"/>
  <c r="C86" i="6"/>
  <c r="L138" i="13"/>
  <c r="L139" i="13" s="1"/>
  <c r="L140" i="13" s="1"/>
  <c r="L141" i="13" s="1"/>
  <c r="L142" i="13" s="1"/>
  <c r="L143" i="13" s="1"/>
  <c r="L144" i="13" s="1"/>
  <c r="L145" i="13" s="1"/>
  <c r="L445" i="13"/>
  <c r="L437" i="13"/>
  <c r="L429" i="13"/>
  <c r="L421" i="13"/>
  <c r="L413" i="13"/>
  <c r="L405" i="13"/>
  <c r="L397" i="13"/>
  <c r="L389" i="13"/>
  <c r="L381" i="13"/>
  <c r="L373" i="13"/>
  <c r="L365" i="13"/>
  <c r="L357" i="13"/>
  <c r="L349" i="13"/>
  <c r="L341" i="13"/>
  <c r="L333" i="13"/>
  <c r="L325" i="13"/>
  <c r="L317" i="13"/>
  <c r="L309" i="13"/>
  <c r="L301" i="13"/>
  <c r="L293" i="13"/>
  <c r="L253" i="13"/>
  <c r="L245" i="13"/>
  <c r="L237" i="13"/>
  <c r="L229" i="13"/>
  <c r="L221" i="13"/>
  <c r="L213" i="13"/>
  <c r="L205" i="13"/>
  <c r="L197" i="13"/>
  <c r="L189" i="13"/>
  <c r="L181" i="13"/>
  <c r="L173" i="13"/>
  <c r="L165" i="13"/>
  <c r="C188" i="9"/>
  <c r="C189" i="9" s="1"/>
  <c r="C190" i="9" s="1"/>
  <c r="P45" i="14" l="1"/>
  <c r="C112" i="9"/>
  <c r="P56" i="14" l="1"/>
  <c r="P68" i="14" s="1"/>
  <c r="P81" i="14" s="1"/>
  <c r="C113" i="9"/>
  <c r="C114" i="9" s="1"/>
  <c r="C115" i="9" s="1"/>
  <c r="C116" i="9" s="1"/>
  <c r="C117" i="9" s="1"/>
  <c r="C118" i="9" s="1"/>
  <c r="H36" i="3" l="1"/>
  <c r="J36" i="3" s="1"/>
  <c r="L36" i="3" s="1"/>
  <c r="N36" i="3" s="1"/>
  <c r="H35" i="3"/>
  <c r="J35" i="3" s="1"/>
  <c r="L35" i="3" s="1"/>
  <c r="N35" i="3" s="1"/>
  <c r="H34" i="3"/>
  <c r="J34" i="3" s="1"/>
  <c r="L34" i="3" s="1"/>
  <c r="N34" i="3" s="1"/>
  <c r="H33" i="3"/>
  <c r="J33" i="3" s="1"/>
  <c r="L33" i="3" s="1"/>
  <c r="N33" i="3" s="1"/>
  <c r="H32" i="3"/>
  <c r="J32" i="3" s="1"/>
  <c r="L32" i="3" s="1"/>
  <c r="N32" i="3" s="1"/>
  <c r="H30" i="3"/>
  <c r="J30" i="3" s="1"/>
  <c r="L30" i="3" s="1"/>
  <c r="N30" i="3" s="1"/>
  <c r="H22" i="3"/>
  <c r="J22" i="3" s="1"/>
  <c r="L22" i="3" s="1"/>
  <c r="N22" i="3" s="1"/>
  <c r="H21" i="3"/>
  <c r="J21" i="3" s="1"/>
  <c r="L21" i="3" s="1"/>
  <c r="N21" i="3" s="1"/>
  <c r="H20" i="3"/>
  <c r="J20" i="3" s="1"/>
  <c r="L20" i="3" s="1"/>
  <c r="N20" i="3" s="1"/>
  <c r="H18" i="3"/>
  <c r="J18" i="3" s="1"/>
  <c r="L18" i="3" s="1"/>
  <c r="N18" i="3" s="1"/>
  <c r="H23" i="3"/>
  <c r="J23" i="3" s="1"/>
  <c r="L23" i="3" s="1"/>
  <c r="N23" i="3" s="1"/>
  <c r="C25" i="4" l="1"/>
  <c r="C103" i="9"/>
  <c r="C94" i="9"/>
  <c r="C85" i="9"/>
  <c r="C86" i="9" s="1"/>
  <c r="C87" i="9" s="1"/>
  <c r="C88" i="9" s="1"/>
  <c r="C89" i="9" s="1"/>
  <c r="C90" i="9" s="1"/>
  <c r="C91" i="9" s="1"/>
  <c r="C76" i="9"/>
  <c r="C77" i="9" s="1"/>
  <c r="C78" i="9" s="1"/>
  <c r="C79" i="9" s="1"/>
  <c r="C80" i="9" s="1"/>
  <c r="C81" i="9" s="1"/>
  <c r="C82" i="9" s="1"/>
  <c r="C67" i="9"/>
  <c r="F12" i="6"/>
  <c r="C202" i="9"/>
  <c r="C203" i="9" s="1"/>
  <c r="C204" i="9" s="1"/>
  <c r="C205" i="9" s="1"/>
  <c r="C206" i="9" s="1"/>
  <c r="C207" i="9" s="1"/>
  <c r="C208" i="9" s="1"/>
  <c r="C193" i="9"/>
  <c r="C194" i="9" s="1"/>
  <c r="C195" i="9" s="1"/>
  <c r="C196" i="9" s="1"/>
  <c r="C197" i="9" s="1"/>
  <c r="C198" i="9" s="1"/>
  <c r="C199" i="9" s="1"/>
  <c r="C172" i="9"/>
  <c r="C163" i="9"/>
  <c r="C154" i="9"/>
  <c r="C145" i="9"/>
  <c r="C136" i="9"/>
  <c r="C127" i="9"/>
  <c r="C58" i="9"/>
  <c r="C59" i="9" s="1"/>
  <c r="C60" i="9" s="1"/>
  <c r="C61" i="9" s="1"/>
  <c r="C62" i="9" s="1"/>
  <c r="C63" i="9" s="1"/>
  <c r="C64" i="9" s="1"/>
  <c r="C49" i="9"/>
  <c r="C50" i="9" s="1"/>
  <c r="C51" i="9" s="1"/>
  <c r="C52" i="9" s="1"/>
  <c r="C53" i="9" s="1"/>
  <c r="C54" i="9" s="1"/>
  <c r="C55" i="9" s="1"/>
  <c r="C40" i="9"/>
  <c r="C41" i="9" s="1"/>
  <c r="C42" i="9" s="1"/>
  <c r="C43" i="9" s="1"/>
  <c r="C44" i="9" s="1"/>
  <c r="C45" i="9" s="1"/>
  <c r="C46" i="9" s="1"/>
  <c r="C31" i="9"/>
  <c r="C32" i="9" s="1"/>
  <c r="C33" i="9" s="1"/>
  <c r="C34" i="9" s="1"/>
  <c r="C35" i="9" s="1"/>
  <c r="C36" i="9" s="1"/>
  <c r="C37" i="9" s="1"/>
  <c r="C22" i="9"/>
  <c r="C23" i="9" s="1"/>
  <c r="C24" i="9" s="1"/>
  <c r="C25" i="9" s="1"/>
  <c r="C26" i="9" s="1"/>
  <c r="C27" i="9" s="1"/>
  <c r="C28" i="9" s="1"/>
  <c r="C13" i="9"/>
  <c r="C14" i="9" s="1"/>
  <c r="C15" i="9" s="1"/>
  <c r="C16" i="9" s="1"/>
  <c r="C17" i="9" s="1"/>
  <c r="C18" i="9" s="1"/>
  <c r="C19" i="9" s="1"/>
  <c r="C4" i="9"/>
  <c r="C5" i="9" s="1"/>
  <c r="C6" i="9" s="1"/>
  <c r="C7" i="9" s="1"/>
  <c r="C8" i="9" s="1"/>
  <c r="C9" i="9" s="1"/>
  <c r="C10" i="9" s="1"/>
  <c r="G228" i="1"/>
  <c r="H7" i="1"/>
  <c r="G229" i="1"/>
  <c r="C27" i="15" s="1"/>
  <c r="Q424" i="9"/>
  <c r="Q484" i="9" s="1"/>
  <c r="Q418" i="9"/>
  <c r="Q478" i="9" s="1"/>
  <c r="Q383" i="9"/>
  <c r="Q443" i="9" s="1"/>
  <c r="Q503" i="9" s="1"/>
  <c r="Q373" i="9"/>
  <c r="Q433" i="9" s="1"/>
  <c r="Q493" i="9" s="1"/>
  <c r="Q413" i="9"/>
  <c r="Q473" i="9" s="1"/>
  <c r="Q396" i="9"/>
  <c r="Q456" i="9" s="1"/>
  <c r="Q516" i="9" s="1"/>
  <c r="Q377" i="9"/>
  <c r="Q437" i="9" s="1"/>
  <c r="Q497" i="9" s="1"/>
  <c r="Q372" i="9"/>
  <c r="Q432" i="9" s="1"/>
  <c r="Q492" i="9" s="1"/>
  <c r="Q371" i="9"/>
  <c r="Q431" i="9" s="1"/>
  <c r="Q491" i="9" s="1"/>
  <c r="Q370" i="9"/>
  <c r="Q430" i="9" s="1"/>
  <c r="Q490" i="9" s="1"/>
  <c r="Q369" i="9"/>
  <c r="Q429" i="9" s="1"/>
  <c r="Q489" i="9" s="1"/>
  <c r="Q428" i="9"/>
  <c r="Q488" i="9" s="1"/>
  <c r="Q427" i="9"/>
  <c r="Q487" i="9" s="1"/>
  <c r="Q426" i="9"/>
  <c r="Q486" i="9" s="1"/>
  <c r="Q425" i="9"/>
  <c r="Q485" i="9" s="1"/>
  <c r="Q423" i="9"/>
  <c r="Q483" i="9" s="1"/>
  <c r="Q422" i="9"/>
  <c r="Q482" i="9" s="1"/>
  <c r="Q421" i="9"/>
  <c r="Q481" i="9" s="1"/>
  <c r="Q420" i="9"/>
  <c r="Q480" i="9" s="1"/>
  <c r="Q419" i="9"/>
  <c r="Q479" i="9" s="1"/>
  <c r="Q417" i="9"/>
  <c r="Q477" i="9" s="1"/>
  <c r="Q416" i="9"/>
  <c r="Q476" i="9" s="1"/>
  <c r="Q415" i="9"/>
  <c r="Q475" i="9" s="1"/>
  <c r="Q414" i="9"/>
  <c r="Q474" i="9" s="1"/>
  <c r="Q412" i="9"/>
  <c r="Q472" i="9" s="1"/>
  <c r="Q411" i="9"/>
  <c r="Q471" i="9" s="1"/>
  <c r="Q410" i="9"/>
  <c r="Q470" i="9" s="1"/>
  <c r="Q409" i="9"/>
  <c r="Q469" i="9" s="1"/>
  <c r="Q408" i="9"/>
  <c r="Q468" i="9" s="1"/>
  <c r="Q407" i="9"/>
  <c r="Q467" i="9" s="1"/>
  <c r="Q406" i="9"/>
  <c r="Q466" i="9" s="1"/>
  <c r="Q405" i="9"/>
  <c r="Q465" i="9" s="1"/>
  <c r="Q404" i="9"/>
  <c r="Q464" i="9" s="1"/>
  <c r="Q402" i="9"/>
  <c r="Q462" i="9" s="1"/>
  <c r="Q522" i="9" s="1"/>
  <c r="Q401" i="9"/>
  <c r="Q461" i="9" s="1"/>
  <c r="Q521" i="9" s="1"/>
  <c r="Q400" i="9"/>
  <c r="Q460" i="9" s="1"/>
  <c r="Q520" i="9" s="1"/>
  <c r="Q399" i="9"/>
  <c r="Q459" i="9" s="1"/>
  <c r="Q519" i="9" s="1"/>
  <c r="Q398" i="9"/>
  <c r="Q458" i="9" s="1"/>
  <c r="Q518" i="9" s="1"/>
  <c r="Q397" i="9"/>
  <c r="Q457" i="9" s="1"/>
  <c r="Q517" i="9" s="1"/>
  <c r="Q395" i="9"/>
  <c r="Q455" i="9" s="1"/>
  <c r="Q515" i="9" s="1"/>
  <c r="Q394" i="9"/>
  <c r="Q454" i="9" s="1"/>
  <c r="Q514" i="9" s="1"/>
  <c r="Q393" i="9"/>
  <c r="Q453" i="9" s="1"/>
  <c r="Q513" i="9" s="1"/>
  <c r="Q392" i="9"/>
  <c r="Q452" i="9" s="1"/>
  <c r="Q512" i="9" s="1"/>
  <c r="Q391" i="9"/>
  <c r="Q451" i="9" s="1"/>
  <c r="Q511" i="9" s="1"/>
  <c r="Q390" i="9"/>
  <c r="Q450" i="9" s="1"/>
  <c r="Q510" i="9" s="1"/>
  <c r="Q389" i="9"/>
  <c r="Q449" i="9" s="1"/>
  <c r="Q509" i="9" s="1"/>
  <c r="Q388" i="9"/>
  <c r="Q448" i="9" s="1"/>
  <c r="Q508" i="9" s="1"/>
  <c r="Q387" i="9"/>
  <c r="Q447" i="9" s="1"/>
  <c r="Q507" i="9" s="1"/>
  <c r="Q386" i="9"/>
  <c r="Q446" i="9" s="1"/>
  <c r="Q506" i="9" s="1"/>
  <c r="Q385" i="9"/>
  <c r="Q445" i="9" s="1"/>
  <c r="Q505" i="9" s="1"/>
  <c r="Q384" i="9"/>
  <c r="Q444" i="9" s="1"/>
  <c r="Q504" i="9" s="1"/>
  <c r="Q382" i="9"/>
  <c r="Q442" i="9" s="1"/>
  <c r="Q502" i="9" s="1"/>
  <c r="Q381" i="9"/>
  <c r="Q441" i="9" s="1"/>
  <c r="Q501" i="9" s="1"/>
  <c r="Q380" i="9"/>
  <c r="Q440" i="9" s="1"/>
  <c r="Q500" i="9" s="1"/>
  <c r="Q379" i="9"/>
  <c r="Q439" i="9" s="1"/>
  <c r="Q499" i="9" s="1"/>
  <c r="Q378" i="9"/>
  <c r="Q438" i="9" s="1"/>
  <c r="Q498" i="9" s="1"/>
  <c r="Q376" i="9"/>
  <c r="Q436" i="9" s="1"/>
  <c r="Q496" i="9" s="1"/>
  <c r="Q375" i="9"/>
  <c r="Q435" i="9" s="1"/>
  <c r="Q495" i="9" s="1"/>
  <c r="Q374" i="9"/>
  <c r="Q434" i="9" s="1"/>
  <c r="Q494" i="9" s="1"/>
  <c r="L1" i="9"/>
  <c r="K1" i="9"/>
  <c r="D8" i="1"/>
  <c r="B8" i="1"/>
  <c r="D31" i="8"/>
  <c r="H211" i="1"/>
  <c r="C30" i="8" s="1"/>
  <c r="C29" i="8"/>
  <c r="C10" i="4"/>
  <c r="C10" i="5"/>
  <c r="C10" i="6"/>
  <c r="C10" i="2"/>
  <c r="D10" i="4"/>
  <c r="D10" i="5"/>
  <c r="D10" i="6"/>
  <c r="D10" i="2"/>
  <c r="F1" i="12"/>
  <c r="E4" i="12"/>
  <c r="H111" i="9"/>
  <c r="H110" i="9"/>
  <c r="H109" i="9"/>
  <c r="H108" i="9"/>
  <c r="H107" i="9"/>
  <c r="H106" i="9"/>
  <c r="H105" i="9"/>
  <c r="H104" i="9"/>
  <c r="H103" i="9"/>
  <c r="H102" i="9"/>
  <c r="H100" i="9"/>
  <c r="C9" i="4"/>
  <c r="G229" i="4" s="1"/>
  <c r="C9" i="5"/>
  <c r="G228" i="5" s="1"/>
  <c r="C9" i="6"/>
  <c r="G228" i="6" s="1"/>
  <c r="C9" i="2"/>
  <c r="G228" i="2" s="1"/>
  <c r="F200" i="2"/>
  <c r="F199" i="2"/>
  <c r="F200" i="6"/>
  <c r="H200" i="6" s="1"/>
  <c r="F199" i="6"/>
  <c r="H199" i="6" s="1"/>
  <c r="F200" i="5"/>
  <c r="F199" i="5"/>
  <c r="F207" i="4"/>
  <c r="H207" i="4" s="1"/>
  <c r="F206" i="4"/>
  <c r="H206" i="4" s="1"/>
  <c r="F203" i="4"/>
  <c r="F202" i="4"/>
  <c r="F201" i="4"/>
  <c r="H201" i="4" s="1"/>
  <c r="F198" i="4"/>
  <c r="H198" i="4" s="1"/>
  <c r="F207" i="5"/>
  <c r="H207" i="5" s="1"/>
  <c r="F206" i="5"/>
  <c r="H206" i="5" s="1"/>
  <c r="F204" i="5"/>
  <c r="F203" i="5"/>
  <c r="F202" i="5"/>
  <c r="F201" i="5"/>
  <c r="F198" i="5"/>
  <c r="H198" i="5" s="1"/>
  <c r="F207" i="6"/>
  <c r="H207" i="6" s="1"/>
  <c r="F206" i="6"/>
  <c r="H206" i="6" s="1"/>
  <c r="F204" i="6"/>
  <c r="F203" i="6"/>
  <c r="F202" i="6"/>
  <c r="F201" i="6"/>
  <c r="F198" i="6"/>
  <c r="H198" i="6" s="1"/>
  <c r="F204" i="2"/>
  <c r="F203" i="2"/>
  <c r="F202" i="2"/>
  <c r="F201" i="2"/>
  <c r="F207" i="2"/>
  <c r="H207" i="2" s="1"/>
  <c r="F206" i="2"/>
  <c r="H206" i="2" s="1"/>
  <c r="F198" i="2"/>
  <c r="H198" i="2" s="1"/>
  <c r="E156" i="5"/>
  <c r="E155" i="5"/>
  <c r="E156" i="4"/>
  <c r="E155" i="4"/>
  <c r="E156" i="6"/>
  <c r="H95" i="1"/>
  <c r="H92" i="1"/>
  <c r="H89" i="1"/>
  <c r="B83" i="4"/>
  <c r="C83" i="6"/>
  <c r="G212" i="4"/>
  <c r="H212" i="4" s="1"/>
  <c r="G31" i="8" s="1"/>
  <c r="G212" i="5"/>
  <c r="H212" i="5" s="1"/>
  <c r="F31" i="8" s="1"/>
  <c r="G212" i="6"/>
  <c r="C31" i="8"/>
  <c r="E154" i="6"/>
  <c r="C33" i="2"/>
  <c r="C25" i="2"/>
  <c r="G12" i="6"/>
  <c r="E13" i="6"/>
  <c r="F13" i="6"/>
  <c r="G13" i="6"/>
  <c r="F14" i="6"/>
  <c r="H14" i="6" s="1"/>
  <c r="E201" i="6"/>
  <c r="G201" i="6"/>
  <c r="E202" i="6"/>
  <c r="H202" i="6" s="1"/>
  <c r="G202" i="6"/>
  <c r="E203" i="6"/>
  <c r="H203" i="6" s="1"/>
  <c r="G203" i="6"/>
  <c r="G204" i="6"/>
  <c r="G206" i="6"/>
  <c r="G207" i="6"/>
  <c r="G13" i="2"/>
  <c r="H13" i="2" s="1"/>
  <c r="H23" i="2" s="1"/>
  <c r="E199" i="2"/>
  <c r="E200" i="2"/>
  <c r="E201" i="2"/>
  <c r="H201" i="2" s="1"/>
  <c r="G201" i="2"/>
  <c r="E202" i="2"/>
  <c r="H202" i="2" s="1"/>
  <c r="G202" i="2"/>
  <c r="E203" i="2"/>
  <c r="H203" i="2" s="1"/>
  <c r="G203" i="2"/>
  <c r="G204" i="2"/>
  <c r="G206" i="2"/>
  <c r="G207" i="2"/>
  <c r="H175" i="1"/>
  <c r="H176" i="1"/>
  <c r="H182" i="1"/>
  <c r="H183" i="1"/>
  <c r="H191" i="1"/>
  <c r="H198" i="1"/>
  <c r="C23" i="8" s="1"/>
  <c r="H199" i="1"/>
  <c r="H200" i="1"/>
  <c r="H201" i="1"/>
  <c r="H202" i="1"/>
  <c r="H203" i="1"/>
  <c r="H204" i="1"/>
  <c r="H207" i="1"/>
  <c r="H206" i="1"/>
  <c r="H221" i="1"/>
  <c r="D32" i="15" s="1"/>
  <c r="D38" i="8"/>
  <c r="E199" i="4"/>
  <c r="E200" i="4"/>
  <c r="E201" i="4"/>
  <c r="G201" i="4"/>
  <c r="E202" i="4"/>
  <c r="G202" i="4"/>
  <c r="E203" i="4"/>
  <c r="G203" i="4"/>
  <c r="E199" i="5"/>
  <c r="E200" i="5"/>
  <c r="H200" i="5" s="1"/>
  <c r="E201" i="5"/>
  <c r="H201" i="5" s="1"/>
  <c r="G201" i="5"/>
  <c r="E202" i="5"/>
  <c r="H202" i="5" s="1"/>
  <c r="G202" i="5"/>
  <c r="E203" i="5"/>
  <c r="H203" i="5" s="1"/>
  <c r="G203" i="5"/>
  <c r="C33" i="4"/>
  <c r="G12" i="4"/>
  <c r="G13" i="4"/>
  <c r="C25" i="5"/>
  <c r="C33" i="5"/>
  <c r="C13" i="4"/>
  <c r="C12" i="4"/>
  <c r="C13" i="6"/>
  <c r="C13" i="2"/>
  <c r="C12" i="6"/>
  <c r="C12" i="2"/>
  <c r="B7" i="6"/>
  <c r="G204" i="4"/>
  <c r="G206" i="4"/>
  <c r="G207" i="4"/>
  <c r="H175" i="4"/>
  <c r="H177" i="4" s="1"/>
  <c r="H176" i="4"/>
  <c r="H182" i="4"/>
  <c r="H184" i="4" s="1"/>
  <c r="H183" i="4"/>
  <c r="H4" i="4"/>
  <c r="H4" i="5"/>
  <c r="H4" i="6"/>
  <c r="H4" i="2"/>
  <c r="G204" i="5"/>
  <c r="G206" i="5"/>
  <c r="G207" i="5"/>
  <c r="H175" i="5"/>
  <c r="H177" i="5" s="1"/>
  <c r="H176" i="5"/>
  <c r="H182" i="5"/>
  <c r="H184" i="5" s="1"/>
  <c r="H183" i="5"/>
  <c r="H175" i="6"/>
  <c r="H177" i="6" s="1"/>
  <c r="H176" i="6"/>
  <c r="H182" i="6"/>
  <c r="H184" i="6" s="1"/>
  <c r="H183" i="6"/>
  <c r="H182" i="2"/>
  <c r="H184" i="2" s="1"/>
  <c r="H183" i="2"/>
  <c r="H175" i="2"/>
  <c r="H177" i="2" s="1"/>
  <c r="H176" i="2"/>
  <c r="C6" i="4"/>
  <c r="B8" i="8"/>
  <c r="C7" i="8"/>
  <c r="H5" i="8"/>
  <c r="C8" i="4"/>
  <c r="C172" i="4" s="1"/>
  <c r="A172" i="4"/>
  <c r="C8" i="5"/>
  <c r="C172" i="5" s="1"/>
  <c r="A172" i="5"/>
  <c r="C8" i="6"/>
  <c r="C172" i="6" s="1"/>
  <c r="A172" i="6"/>
  <c r="C8" i="2"/>
  <c r="C172" i="2" s="1"/>
  <c r="A172" i="2"/>
  <c r="C172" i="1"/>
  <c r="C6" i="2"/>
  <c r="B7" i="2"/>
  <c r="B171" i="4"/>
  <c r="C170" i="4"/>
  <c r="B7" i="4"/>
  <c r="B171" i="5"/>
  <c r="C170" i="5"/>
  <c r="B7" i="5"/>
  <c r="C6" i="5"/>
  <c r="B171" i="6"/>
  <c r="C170" i="6"/>
  <c r="C6" i="6"/>
  <c r="B171" i="2"/>
  <c r="C170" i="2"/>
  <c r="C170" i="1"/>
  <c r="B171" i="1"/>
  <c r="D7" i="15" l="1"/>
  <c r="G167" i="1"/>
  <c r="G166" i="1"/>
  <c r="H166" i="1" s="1"/>
  <c r="G165" i="1"/>
  <c r="G153" i="1"/>
  <c r="H153" i="1" s="1"/>
  <c r="G164" i="1"/>
  <c r="G163" i="1"/>
  <c r="G152" i="1"/>
  <c r="H152" i="1" s="1"/>
  <c r="G151" i="1"/>
  <c r="H151" i="1" s="1"/>
  <c r="D33" i="15"/>
  <c r="H14" i="15"/>
  <c r="G14" i="15"/>
  <c r="E14" i="15"/>
  <c r="F14" i="15"/>
  <c r="H199" i="2"/>
  <c r="H199" i="5"/>
  <c r="H200" i="2"/>
  <c r="H201" i="6"/>
  <c r="B8" i="2"/>
  <c r="E224" i="2" s="1"/>
  <c r="D8" i="15"/>
  <c r="G4" i="12"/>
  <c r="H4" i="15"/>
  <c r="H167" i="1"/>
  <c r="H12" i="6"/>
  <c r="H13" i="6"/>
  <c r="C38" i="8"/>
  <c r="H212" i="6"/>
  <c r="E31" i="8" s="1"/>
  <c r="H31" i="8" s="1"/>
  <c r="E154" i="5"/>
  <c r="E154" i="2"/>
  <c r="F14" i="5"/>
  <c r="H14" i="5" s="1"/>
  <c r="F13" i="5"/>
  <c r="H13" i="5" s="1"/>
  <c r="F12" i="5"/>
  <c r="H12" i="5" s="1"/>
  <c r="C122" i="5"/>
  <c r="E122" i="5" s="1"/>
  <c r="C125" i="1"/>
  <c r="E125" i="1" s="1"/>
  <c r="H125" i="1" s="1"/>
  <c r="C123" i="2"/>
  <c r="E123" i="2" s="1"/>
  <c r="C126" i="4"/>
  <c r="E126" i="4" s="1"/>
  <c r="C123" i="6"/>
  <c r="E123" i="6" s="1"/>
  <c r="C125" i="4"/>
  <c r="E125" i="4" s="1"/>
  <c r="C126" i="5"/>
  <c r="E126" i="5" s="1"/>
  <c r="C122" i="6"/>
  <c r="E122" i="6" s="1"/>
  <c r="C123" i="1"/>
  <c r="E123" i="1" s="1"/>
  <c r="C123" i="4"/>
  <c r="E123" i="4" s="1"/>
  <c r="C125" i="6"/>
  <c r="E125" i="6" s="1"/>
  <c r="C126" i="6"/>
  <c r="E126" i="6" s="1"/>
  <c r="C122" i="2"/>
  <c r="E122" i="2" s="1"/>
  <c r="C122" i="1"/>
  <c r="E122" i="1" s="1"/>
  <c r="H122" i="1" s="1"/>
  <c r="C125" i="5"/>
  <c r="E125" i="5" s="1"/>
  <c r="C126" i="2"/>
  <c r="E126" i="2" s="1"/>
  <c r="C123" i="5"/>
  <c r="E123" i="5" s="1"/>
  <c r="C125" i="2"/>
  <c r="E125" i="2" s="1"/>
  <c r="C122" i="4"/>
  <c r="E122" i="4" s="1"/>
  <c r="C126" i="1"/>
  <c r="E126" i="1" s="1"/>
  <c r="E154" i="4"/>
  <c r="H23" i="1"/>
  <c r="C13" i="8" s="1"/>
  <c r="C147" i="4"/>
  <c r="E147" i="4" s="1"/>
  <c r="C140" i="4"/>
  <c r="E140" i="4" s="1"/>
  <c r="C106" i="4"/>
  <c r="E106" i="4" s="1"/>
  <c r="C106" i="5"/>
  <c r="E106" i="5" s="1"/>
  <c r="C146" i="6"/>
  <c r="E146" i="6" s="1"/>
  <c r="C134" i="6"/>
  <c r="E134" i="6" s="1"/>
  <c r="C115" i="6"/>
  <c r="E115" i="6" s="1"/>
  <c r="C104" i="6"/>
  <c r="E104" i="6" s="1"/>
  <c r="C141" i="2"/>
  <c r="E141" i="2" s="1"/>
  <c r="C132" i="2"/>
  <c r="E132" i="2" s="1"/>
  <c r="C108" i="2"/>
  <c r="E108" i="2" s="1"/>
  <c r="C87" i="2"/>
  <c r="E87" i="2" s="1"/>
  <c r="C108" i="5"/>
  <c r="E108" i="5" s="1"/>
  <c r="C115" i="4"/>
  <c r="E115" i="4" s="1"/>
  <c r="C143" i="5"/>
  <c r="E143" i="5" s="1"/>
  <c r="C135" i="5"/>
  <c r="E135" i="5" s="1"/>
  <c r="C120" i="5"/>
  <c r="E120" i="5" s="1"/>
  <c r="C112" i="5"/>
  <c r="E112" i="5" s="1"/>
  <c r="C114" i="6"/>
  <c r="E114" i="6" s="1"/>
  <c r="C103" i="6"/>
  <c r="E103" i="6" s="1"/>
  <c r="C140" i="2"/>
  <c r="E140" i="2" s="1"/>
  <c r="C116" i="2"/>
  <c r="E116" i="2" s="1"/>
  <c r="C88" i="2"/>
  <c r="E88" i="2" s="1"/>
  <c r="C102" i="5"/>
  <c r="C143" i="2"/>
  <c r="E143" i="2" s="1"/>
  <c r="C110" i="2"/>
  <c r="E110" i="2" s="1"/>
  <c r="C131" i="4"/>
  <c r="E131" i="4" s="1"/>
  <c r="C146" i="4"/>
  <c r="E146" i="4" s="1"/>
  <c r="C129" i="4"/>
  <c r="E129" i="4" s="1"/>
  <c r="C114" i="4"/>
  <c r="E114" i="4" s="1"/>
  <c r="C104" i="4"/>
  <c r="C134" i="5"/>
  <c r="E134" i="5" s="1"/>
  <c r="C111" i="5"/>
  <c r="E111" i="5" s="1"/>
  <c r="C144" i="6"/>
  <c r="E144" i="6" s="1"/>
  <c r="C132" i="6"/>
  <c r="E132" i="6" s="1"/>
  <c r="C102" i="6"/>
  <c r="E102" i="6" s="1"/>
  <c r="C131" i="2"/>
  <c r="E131" i="2" s="1"/>
  <c r="C115" i="2"/>
  <c r="E115" i="2" s="1"/>
  <c r="C107" i="2"/>
  <c r="E107" i="2" s="1"/>
  <c r="C138" i="6"/>
  <c r="E138" i="6" s="1"/>
  <c r="C120" i="2"/>
  <c r="E120" i="2" s="1"/>
  <c r="C147" i="6"/>
  <c r="E147" i="6" s="1"/>
  <c r="C138" i="4"/>
  <c r="E138" i="4" s="1"/>
  <c r="C143" i="6"/>
  <c r="E143" i="6" s="1"/>
  <c r="C131" i="6"/>
  <c r="E131" i="6" s="1"/>
  <c r="C112" i="6"/>
  <c r="E112" i="6" s="1"/>
  <c r="C147" i="2"/>
  <c r="E147" i="2" s="1"/>
  <c r="C135" i="2"/>
  <c r="E135" i="2" s="1"/>
  <c r="C85" i="2"/>
  <c r="E85" i="2" s="1"/>
  <c r="C137" i="4"/>
  <c r="E137" i="4" s="1"/>
  <c r="C128" i="4"/>
  <c r="E128" i="4" s="1"/>
  <c r="C112" i="4"/>
  <c r="E112" i="4" s="1"/>
  <c r="C141" i="5"/>
  <c r="E141" i="5" s="1"/>
  <c r="C132" i="5"/>
  <c r="E132" i="5" s="1"/>
  <c r="C119" i="5"/>
  <c r="C110" i="5"/>
  <c r="E110" i="5" s="1"/>
  <c r="C104" i="5"/>
  <c r="C111" i="6"/>
  <c r="E111" i="6" s="1"/>
  <c r="C146" i="2"/>
  <c r="E146" i="2" s="1"/>
  <c r="C138" i="2"/>
  <c r="E138" i="2" s="1"/>
  <c r="C114" i="2"/>
  <c r="E114" i="2" s="1"/>
  <c r="C106" i="2"/>
  <c r="E106" i="2" s="1"/>
  <c r="C144" i="4"/>
  <c r="E144" i="4" s="1"/>
  <c r="C103" i="4"/>
  <c r="C140" i="5"/>
  <c r="E140" i="5" s="1"/>
  <c r="C103" i="5"/>
  <c r="C141" i="6"/>
  <c r="E141" i="6" s="1"/>
  <c r="C129" i="6"/>
  <c r="E129" i="6" s="1"/>
  <c r="C110" i="6"/>
  <c r="E110" i="6" s="1"/>
  <c r="C129" i="2"/>
  <c r="E129" i="2" s="1"/>
  <c r="C120" i="6"/>
  <c r="E120" i="6" s="1"/>
  <c r="C84" i="2"/>
  <c r="E84" i="2" s="1"/>
  <c r="C111" i="2"/>
  <c r="E111" i="2" s="1"/>
  <c r="C116" i="6"/>
  <c r="E116" i="6" s="1"/>
  <c r="C135" i="4"/>
  <c r="E135" i="4" s="1"/>
  <c r="C111" i="4"/>
  <c r="E111" i="4" s="1"/>
  <c r="C140" i="6"/>
  <c r="E140" i="6" s="1"/>
  <c r="C128" i="6"/>
  <c r="E128" i="6" s="1"/>
  <c r="C137" i="2"/>
  <c r="E137" i="2" s="1"/>
  <c r="C128" i="2"/>
  <c r="E128" i="2" s="1"/>
  <c r="C104" i="2"/>
  <c r="E104" i="2" s="1"/>
  <c r="C115" i="5"/>
  <c r="E115" i="5" s="1"/>
  <c r="C102" i="2"/>
  <c r="E102" i="2" s="1"/>
  <c r="C119" i="2"/>
  <c r="E119" i="2" s="1"/>
  <c r="C143" i="4"/>
  <c r="E143" i="4" s="1"/>
  <c r="C120" i="4"/>
  <c r="C110" i="4"/>
  <c r="E110" i="4" s="1"/>
  <c r="C147" i="5"/>
  <c r="E147" i="5" s="1"/>
  <c r="C138" i="5"/>
  <c r="E138" i="5" s="1"/>
  <c r="C131" i="5"/>
  <c r="E131" i="5" s="1"/>
  <c r="C116" i="5"/>
  <c r="E116" i="5" s="1"/>
  <c r="C108" i="6"/>
  <c r="E108" i="6" s="1"/>
  <c r="C144" i="2"/>
  <c r="E144" i="2" s="1"/>
  <c r="C112" i="2"/>
  <c r="E112" i="2" s="1"/>
  <c r="C103" i="2"/>
  <c r="E103" i="2" s="1"/>
  <c r="C134" i="4"/>
  <c r="E134" i="4" s="1"/>
  <c r="C119" i="4"/>
  <c r="C102" i="4"/>
  <c r="C146" i="5"/>
  <c r="E146" i="5" s="1"/>
  <c r="C107" i="6"/>
  <c r="E107" i="6" s="1"/>
  <c r="C135" i="6"/>
  <c r="E135" i="6" s="1"/>
  <c r="C114" i="5"/>
  <c r="E114" i="5" s="1"/>
  <c r="C107" i="5"/>
  <c r="E107" i="5" s="1"/>
  <c r="C137" i="6"/>
  <c r="E137" i="6" s="1"/>
  <c r="C119" i="6"/>
  <c r="E119" i="6" s="1"/>
  <c r="C106" i="6"/>
  <c r="E106" i="6" s="1"/>
  <c r="C134" i="2"/>
  <c r="E134" i="2" s="1"/>
  <c r="C107" i="4"/>
  <c r="E107" i="4" s="1"/>
  <c r="C141" i="4"/>
  <c r="E141" i="4" s="1"/>
  <c r="C132" i="4"/>
  <c r="E132" i="4" s="1"/>
  <c r="C116" i="4"/>
  <c r="E116" i="4" s="1"/>
  <c r="C108" i="4"/>
  <c r="E108" i="4" s="1"/>
  <c r="C144" i="5"/>
  <c r="E144" i="5" s="1"/>
  <c r="C137" i="5"/>
  <c r="E137" i="5" s="1"/>
  <c r="C129" i="5"/>
  <c r="E129" i="5" s="1"/>
  <c r="C128" i="5"/>
  <c r="E128" i="5" s="1"/>
  <c r="F158" i="2"/>
  <c r="D160" i="2"/>
  <c r="F160" i="2"/>
  <c r="D161" i="2"/>
  <c r="D159" i="2"/>
  <c r="D158" i="2"/>
  <c r="C132" i="1"/>
  <c r="E132" i="1" s="1"/>
  <c r="C147" i="1"/>
  <c r="E147" i="1" s="1"/>
  <c r="C140" i="1"/>
  <c r="E140" i="1" s="1"/>
  <c r="C146" i="1"/>
  <c r="E146" i="1" s="1"/>
  <c r="C138" i="1"/>
  <c r="E138" i="1" s="1"/>
  <c r="C131" i="1"/>
  <c r="E131" i="1" s="1"/>
  <c r="C144" i="1"/>
  <c r="E144" i="1" s="1"/>
  <c r="C137" i="1"/>
  <c r="E137" i="1" s="1"/>
  <c r="C134" i="1"/>
  <c r="E134" i="1" s="1"/>
  <c r="C129" i="1"/>
  <c r="E129" i="1" s="1"/>
  <c r="C141" i="1"/>
  <c r="E141" i="1" s="1"/>
  <c r="C143" i="1"/>
  <c r="E143" i="1" s="1"/>
  <c r="C135" i="1"/>
  <c r="E135" i="1" s="1"/>
  <c r="C128" i="1"/>
  <c r="E128" i="1" s="1"/>
  <c r="C110" i="1"/>
  <c r="E110" i="1" s="1"/>
  <c r="C116" i="1"/>
  <c r="E116" i="1" s="1"/>
  <c r="C115" i="1"/>
  <c r="E115" i="1" s="1"/>
  <c r="C114" i="1"/>
  <c r="E114" i="1" s="1"/>
  <c r="C112" i="1"/>
  <c r="E112" i="1" s="1"/>
  <c r="C111" i="1"/>
  <c r="E111" i="1" s="1"/>
  <c r="C108" i="1"/>
  <c r="E108" i="1" s="1"/>
  <c r="C107" i="1"/>
  <c r="E107" i="1" s="1"/>
  <c r="C106" i="1"/>
  <c r="E106" i="1" s="1"/>
  <c r="C103" i="1"/>
  <c r="C102" i="1"/>
  <c r="C104" i="1"/>
  <c r="C54" i="1"/>
  <c r="C79" i="1"/>
  <c r="C53" i="1"/>
  <c r="C44" i="1"/>
  <c r="C70" i="1"/>
  <c r="C78" i="1"/>
  <c r="C61" i="1"/>
  <c r="C52" i="1"/>
  <c r="C43" i="1"/>
  <c r="C60" i="1"/>
  <c r="C51" i="1"/>
  <c r="C62" i="1"/>
  <c r="C69" i="1"/>
  <c r="C68" i="1"/>
  <c r="C46" i="1"/>
  <c r="C77" i="1"/>
  <c r="C45" i="1"/>
  <c r="C76" i="1"/>
  <c r="C59" i="1"/>
  <c r="C47" i="1"/>
  <c r="C67" i="1"/>
  <c r="C55" i="1"/>
  <c r="C75" i="1"/>
  <c r="C63" i="1"/>
  <c r="C71" i="1"/>
  <c r="C36" i="1"/>
  <c r="C39" i="1"/>
  <c r="C37" i="1"/>
  <c r="C35" i="1"/>
  <c r="C38" i="1"/>
  <c r="E227" i="2"/>
  <c r="E225" i="2"/>
  <c r="D225" i="2"/>
  <c r="C87" i="6"/>
  <c r="E87" i="6" s="1"/>
  <c r="C85" i="6"/>
  <c r="E85" i="6" s="1"/>
  <c r="C88" i="4"/>
  <c r="E88" i="4" s="1"/>
  <c r="C84" i="6"/>
  <c r="E84" i="6" s="1"/>
  <c r="C88" i="5"/>
  <c r="E88" i="5" s="1"/>
  <c r="C87" i="4"/>
  <c r="E87" i="4" s="1"/>
  <c r="C87" i="5"/>
  <c r="E87" i="5" s="1"/>
  <c r="C85" i="4"/>
  <c r="E85" i="4" s="1"/>
  <c r="C84" i="5"/>
  <c r="E84" i="5" s="1"/>
  <c r="C84" i="4"/>
  <c r="E84" i="4" s="1"/>
  <c r="C85" i="5"/>
  <c r="E85" i="5" s="1"/>
  <c r="C120" i="1"/>
  <c r="C119" i="1"/>
  <c r="C88" i="6"/>
  <c r="E88" i="6" s="1"/>
  <c r="G228" i="4"/>
  <c r="G229" i="2"/>
  <c r="C26" i="8"/>
  <c r="C88" i="1"/>
  <c r="C87" i="1"/>
  <c r="C85" i="1"/>
  <c r="E85" i="1" s="1"/>
  <c r="C84" i="1"/>
  <c r="H184" i="1"/>
  <c r="C20" i="8" s="1"/>
  <c r="C22" i="8"/>
  <c r="H177" i="1"/>
  <c r="C19" i="8" s="1"/>
  <c r="G229" i="5"/>
  <c r="C68" i="9"/>
  <c r="C69" i="9" s="1"/>
  <c r="C70" i="9" s="1"/>
  <c r="C71" i="9" s="1"/>
  <c r="C72" i="9" s="1"/>
  <c r="C73" i="9" s="1"/>
  <c r="C95" i="9"/>
  <c r="C96" i="9" s="1"/>
  <c r="C97" i="9" s="1"/>
  <c r="C98" i="9" s="1"/>
  <c r="C99" i="9" s="1"/>
  <c r="C100" i="9" s="1"/>
  <c r="C104" i="9"/>
  <c r="C105" i="9" s="1"/>
  <c r="C106" i="9" s="1"/>
  <c r="C107" i="9" s="1"/>
  <c r="C108" i="9" s="1"/>
  <c r="C109" i="9" s="1"/>
  <c r="G229" i="6"/>
  <c r="C24" i="8"/>
  <c r="D172" i="1"/>
  <c r="H8" i="8"/>
  <c r="C29" i="1"/>
  <c r="C29" i="2" s="1"/>
  <c r="C28" i="1"/>
  <c r="B28" i="1" s="1"/>
  <c r="C27" i="1"/>
  <c r="G158" i="1"/>
  <c r="H158" i="1" s="1"/>
  <c r="F38" i="3"/>
  <c r="F39" i="3" s="1"/>
  <c r="J38" i="3"/>
  <c r="J39" i="3" s="1"/>
  <c r="H38" i="3"/>
  <c r="H39" i="3" s="1"/>
  <c r="F25" i="3"/>
  <c r="H25" i="3"/>
  <c r="H26" i="3" s="1"/>
  <c r="B172" i="1"/>
  <c r="F7" i="12"/>
  <c r="F8" i="12"/>
  <c r="C30" i="1"/>
  <c r="C31" i="1"/>
  <c r="G160" i="1"/>
  <c r="H160" i="1" s="1"/>
  <c r="G159" i="1"/>
  <c r="H159" i="1" s="1"/>
  <c r="G161" i="1"/>
  <c r="H161" i="1" s="1"/>
  <c r="F14" i="4" l="1"/>
  <c r="H14" i="4" s="1"/>
  <c r="H23" i="5"/>
  <c r="E226" i="2"/>
  <c r="F161" i="2"/>
  <c r="F159" i="2"/>
  <c r="D224" i="2"/>
  <c r="B172" i="2"/>
  <c r="G7" i="12"/>
  <c r="D226" i="2"/>
  <c r="D8" i="2"/>
  <c r="E8" i="15" s="1"/>
  <c r="D45" i="2" a="1"/>
  <c r="D45" i="2" s="1"/>
  <c r="F45" i="2" s="1" a="1"/>
  <c r="F45" i="2" s="1"/>
  <c r="D227" i="2"/>
  <c r="G163" i="2"/>
  <c r="G153" i="2"/>
  <c r="H153" i="2" s="1"/>
  <c r="G151" i="2"/>
  <c r="H151" i="2" s="1"/>
  <c r="G152" i="2"/>
  <c r="H152" i="2" s="1"/>
  <c r="G164" i="2"/>
  <c r="G165" i="2"/>
  <c r="G167" i="2"/>
  <c r="H167" i="2" s="1"/>
  <c r="G166" i="2"/>
  <c r="H166" i="2" s="1"/>
  <c r="F162" i="2"/>
  <c r="D23" i="15"/>
  <c r="I23" i="15" s="1"/>
  <c r="F16" i="12"/>
  <c r="K16" i="12" s="1"/>
  <c r="H23" i="6"/>
  <c r="I32" i="15"/>
  <c r="I29" i="15"/>
  <c r="D11" i="15"/>
  <c r="E7" i="15"/>
  <c r="F103" i="2" a="1"/>
  <c r="F103" i="2" s="1"/>
  <c r="H103" i="2" s="1"/>
  <c r="F102" i="2" a="1"/>
  <c r="F102" i="2" s="1"/>
  <c r="H102" i="2" s="1"/>
  <c r="F106" i="2" a="1"/>
  <c r="F106" i="2" s="1"/>
  <c r="H106" i="2" s="1"/>
  <c r="F110" i="2" a="1"/>
  <c r="F110" i="2" s="1"/>
  <c r="H110" i="2" s="1"/>
  <c r="F111" i="2" a="1"/>
  <c r="F111" i="2" s="1"/>
  <c r="H111" i="2" s="1"/>
  <c r="F112" i="2" a="1"/>
  <c r="F112" i="2" s="1"/>
  <c r="H112" i="2" s="1"/>
  <c r="F104" i="2" a="1"/>
  <c r="F104" i="2" s="1"/>
  <c r="H104" i="2" s="1"/>
  <c r="F107" i="2" a="1"/>
  <c r="F107" i="2" s="1"/>
  <c r="H107" i="2" s="1"/>
  <c r="F112" i="1" a="1"/>
  <c r="F112" i="1" s="1"/>
  <c r="F108" i="1" a="1"/>
  <c r="F108" i="1" s="1"/>
  <c r="F104" i="1" a="1"/>
  <c r="F104" i="1" s="1"/>
  <c r="F102" i="1" a="1"/>
  <c r="F102" i="1" s="1"/>
  <c r="F26" i="3"/>
  <c r="D144" i="2" a="1"/>
  <c r="D144" i="2" s="1"/>
  <c r="F144" i="2" s="1" a="1"/>
  <c r="F144" i="2" s="1"/>
  <c r="H144" i="2" s="1"/>
  <c r="D129" i="2" a="1"/>
  <c r="D129" i="2" s="1"/>
  <c r="F129" i="2" s="1" a="1"/>
  <c r="F129" i="2" s="1"/>
  <c r="H129" i="2" s="1"/>
  <c r="D135" i="2" a="1"/>
  <c r="D135" i="2" s="1"/>
  <c r="F135" i="2" s="1" a="1"/>
  <c r="F135" i="2" s="1"/>
  <c r="H135" i="2" s="1"/>
  <c r="D147" i="2" a="1"/>
  <c r="D147" i="2" s="1"/>
  <c r="F147" i="2" s="1" a="1"/>
  <c r="F147" i="2" s="1"/>
  <c r="H147" i="2" s="1"/>
  <c r="D132" i="2" a="1"/>
  <c r="D132" i="2" s="1"/>
  <c r="F132" i="2" s="1" a="1"/>
  <c r="F132" i="2" s="1"/>
  <c r="H132" i="2" s="1"/>
  <c r="D122" i="2" a="1"/>
  <c r="D122" i="2" s="1"/>
  <c r="F122" i="2" s="1" a="1"/>
  <c r="F122" i="2" s="1"/>
  <c r="H122" i="2" s="1"/>
  <c r="D125" i="2" a="1"/>
  <c r="D125" i="2" s="1"/>
  <c r="F125" i="2" s="1" a="1"/>
  <c r="F125" i="2" s="1"/>
  <c r="H125" i="2" s="1"/>
  <c r="D123" i="1" a="1"/>
  <c r="D123" i="1" s="1"/>
  <c r="F123" i="1" s="1" a="1"/>
  <c r="F123" i="1" s="1"/>
  <c r="H123" i="1" s="1"/>
  <c r="D126" i="1" a="1"/>
  <c r="D126" i="1" s="1"/>
  <c r="F126" i="1" s="1" a="1"/>
  <c r="F126" i="1" s="1"/>
  <c r="H126" i="1" s="1"/>
  <c r="D123" i="2" a="1"/>
  <c r="D123" i="2" s="1"/>
  <c r="F123" i="2" s="1" a="1"/>
  <c r="F123" i="2" s="1"/>
  <c r="H123" i="2" s="1"/>
  <c r="D125" i="1" a="1"/>
  <c r="D125" i="1" s="1"/>
  <c r="D122" i="1" a="1"/>
  <c r="D122" i="1" s="1"/>
  <c r="D126" i="2" a="1"/>
  <c r="D126" i="2" s="1"/>
  <c r="F126" i="2" s="1" a="1"/>
  <c r="F126" i="2" s="1"/>
  <c r="H126" i="2" s="1"/>
  <c r="D138" i="2" a="1"/>
  <c r="D138" i="2" s="1"/>
  <c r="F138" i="2" s="1" a="1"/>
  <c r="F138" i="2" s="1"/>
  <c r="H138" i="2" s="1"/>
  <c r="D85" i="2" a="1"/>
  <c r="D85" i="2" s="1"/>
  <c r="F85" i="2" s="1" a="1"/>
  <c r="F85" i="2" s="1"/>
  <c r="H85" i="2" s="1"/>
  <c r="G159" i="2"/>
  <c r="H159" i="2" s="1"/>
  <c r="G158" i="2"/>
  <c r="H158" i="2" s="1"/>
  <c r="D87" i="2" a="1"/>
  <c r="D87" i="2" s="1"/>
  <c r="F87" i="2" s="1" a="1"/>
  <c r="F87" i="2" s="1"/>
  <c r="H87" i="2" s="1"/>
  <c r="D88" i="2" a="1"/>
  <c r="D88" i="2" s="1"/>
  <c r="F88" i="2" s="1" a="1"/>
  <c r="F88" i="2" s="1"/>
  <c r="H88" i="2" s="1"/>
  <c r="D141" i="2" a="1"/>
  <c r="D141" i="2" s="1"/>
  <c r="F141" i="2" s="1" a="1"/>
  <c r="F141" i="2" s="1"/>
  <c r="H141" i="2" s="1"/>
  <c r="D120" i="2" a="1"/>
  <c r="D120" i="2" s="1"/>
  <c r="F120" i="2" s="1" a="1"/>
  <c r="F120" i="2" s="1"/>
  <c r="H120" i="2" s="1"/>
  <c r="D128" i="2" a="1"/>
  <c r="D128" i="2" s="1"/>
  <c r="F128" i="2" s="1" a="1"/>
  <c r="F128" i="2" s="1"/>
  <c r="H128" i="2" s="1"/>
  <c r="D137" i="2" a="1"/>
  <c r="D137" i="2" s="1"/>
  <c r="F137" i="2" s="1" a="1"/>
  <c r="F137" i="2" s="1"/>
  <c r="H137" i="2" s="1"/>
  <c r="C62" i="6"/>
  <c r="C62" i="2"/>
  <c r="C62" i="4"/>
  <c r="C62" i="5"/>
  <c r="D146" i="2" a="1"/>
  <c r="D146" i="2" s="1"/>
  <c r="F146" i="2" s="1" a="1"/>
  <c r="F146" i="2" s="1"/>
  <c r="H146" i="2" s="1"/>
  <c r="E104" i="5"/>
  <c r="E102" i="5"/>
  <c r="C71" i="2"/>
  <c r="C71" i="6"/>
  <c r="C71" i="5"/>
  <c r="C71" i="4"/>
  <c r="C69" i="4"/>
  <c r="C69" i="5"/>
  <c r="C69" i="6"/>
  <c r="C69" i="2"/>
  <c r="C54" i="2"/>
  <c r="C54" i="5"/>
  <c r="C54" i="6"/>
  <c r="C54" i="4"/>
  <c r="C63" i="2"/>
  <c r="C63" i="6"/>
  <c r="C63" i="4"/>
  <c r="C63" i="5"/>
  <c r="D134" i="2" a="1"/>
  <c r="D134" i="2" s="1"/>
  <c r="F134" i="2" s="1" a="1"/>
  <c r="F134" i="2" s="1"/>
  <c r="H134" i="2" s="1"/>
  <c r="C75" i="4"/>
  <c r="C75" i="5"/>
  <c r="C75" i="2"/>
  <c r="C75" i="6"/>
  <c r="C51" i="4"/>
  <c r="C51" i="5"/>
  <c r="C51" i="6"/>
  <c r="C51" i="2"/>
  <c r="C55" i="2"/>
  <c r="C55" i="4"/>
  <c r="C55" i="5"/>
  <c r="C55" i="6"/>
  <c r="C60" i="4"/>
  <c r="C60" i="5"/>
  <c r="C60" i="2"/>
  <c r="C60" i="6"/>
  <c r="D119" i="2" a="1"/>
  <c r="D119" i="2" s="1"/>
  <c r="D143" i="2" a="1"/>
  <c r="D143" i="2" s="1"/>
  <c r="F143" i="2" s="1" a="1"/>
  <c r="F143" i="2" s="1"/>
  <c r="H143" i="2" s="1"/>
  <c r="E119" i="5"/>
  <c r="E104" i="4"/>
  <c r="C79" i="6"/>
  <c r="C79" i="2"/>
  <c r="C79" i="4"/>
  <c r="C79" i="5"/>
  <c r="C67" i="4"/>
  <c r="C67" i="5"/>
  <c r="C67" i="6"/>
  <c r="C67" i="2"/>
  <c r="C47" i="2"/>
  <c r="C47" i="4"/>
  <c r="C47" i="5"/>
  <c r="C47" i="6"/>
  <c r="G161" i="2"/>
  <c r="H161" i="2" s="1"/>
  <c r="G160" i="2"/>
  <c r="H160" i="2" s="1"/>
  <c r="E103" i="5"/>
  <c r="C59" i="4"/>
  <c r="C59" i="5"/>
  <c r="C59" i="6"/>
  <c r="C59" i="2"/>
  <c r="C61" i="6"/>
  <c r="C61" i="4"/>
  <c r="C61" i="5"/>
  <c r="C61" i="2"/>
  <c r="D84" i="2" a="1"/>
  <c r="D84" i="2" s="1"/>
  <c r="F84" i="2" s="1" a="1"/>
  <c r="F84" i="2" s="1"/>
  <c r="H84" i="2" s="1"/>
  <c r="C68" i="4"/>
  <c r="C68" i="5"/>
  <c r="C68" i="6"/>
  <c r="C68" i="2"/>
  <c r="C43" i="4"/>
  <c r="C43" i="5"/>
  <c r="C43" i="6"/>
  <c r="C43" i="2"/>
  <c r="C52" i="4"/>
  <c r="C52" i="5"/>
  <c r="C52" i="6"/>
  <c r="C52" i="2"/>
  <c r="C76" i="2"/>
  <c r="C76" i="4"/>
  <c r="C76" i="5"/>
  <c r="C76" i="6"/>
  <c r="C78" i="5"/>
  <c r="C78" i="2"/>
  <c r="C78" i="6"/>
  <c r="C78" i="4"/>
  <c r="D140" i="2" a="1"/>
  <c r="D140" i="2" s="1"/>
  <c r="F140" i="2" s="1" a="1"/>
  <c r="F140" i="2" s="1"/>
  <c r="H140" i="2" s="1"/>
  <c r="E103" i="4"/>
  <c r="E102" i="4"/>
  <c r="E120" i="4"/>
  <c r="C45" i="6"/>
  <c r="C45" i="2"/>
  <c r="C45" i="4"/>
  <c r="C45" i="5"/>
  <c r="C70" i="6"/>
  <c r="C70" i="2"/>
  <c r="C70" i="5"/>
  <c r="C70" i="4"/>
  <c r="C77" i="4"/>
  <c r="C77" i="5"/>
  <c r="C77" i="2"/>
  <c r="C77" i="6"/>
  <c r="C44" i="6"/>
  <c r="C44" i="4"/>
  <c r="C44" i="2"/>
  <c r="C44" i="5"/>
  <c r="C46" i="2"/>
  <c r="C46" i="4"/>
  <c r="C46" i="5"/>
  <c r="C46" i="6"/>
  <c r="C53" i="6"/>
  <c r="C53" i="5"/>
  <c r="C53" i="2"/>
  <c r="C53" i="4"/>
  <c r="D131" i="2" a="1"/>
  <c r="D131" i="2" s="1"/>
  <c r="F131" i="2" s="1" a="1"/>
  <c r="F131" i="2" s="1"/>
  <c r="H131" i="2" s="1"/>
  <c r="E119" i="4"/>
  <c r="D61" i="2" a="1"/>
  <c r="D61" i="2" s="1"/>
  <c r="F61" i="2" s="1" a="1"/>
  <c r="F61" i="2" s="1"/>
  <c r="D140" i="1" a="1"/>
  <c r="D140" i="1" s="1"/>
  <c r="F140" i="1" s="1" a="1"/>
  <c r="F140" i="1" s="1"/>
  <c r="H140" i="1" s="1"/>
  <c r="E119" i="1"/>
  <c r="D146" i="1" a="1"/>
  <c r="D146" i="1" s="1"/>
  <c r="F146" i="1" s="1" a="1"/>
  <c r="F146" i="1" s="1"/>
  <c r="H146" i="1" s="1"/>
  <c r="D131" i="1" a="1"/>
  <c r="D131" i="1" s="1"/>
  <c r="F131" i="1" s="1" a="1"/>
  <c r="F131" i="1" s="1"/>
  <c r="H131" i="1" s="1"/>
  <c r="D137" i="1" a="1"/>
  <c r="D137" i="1" s="1"/>
  <c r="F137" i="1" s="1" a="1"/>
  <c r="F137" i="1" s="1"/>
  <c r="H137" i="1" s="1"/>
  <c r="D134" i="1" a="1"/>
  <c r="D134" i="1" s="1"/>
  <c r="F134" i="1" s="1" a="1"/>
  <c r="F134" i="1" s="1"/>
  <c r="H134" i="1" s="1"/>
  <c r="D143" i="1" a="1"/>
  <c r="D143" i="1" s="1"/>
  <c r="F143" i="1" s="1" a="1"/>
  <c r="F143" i="1" s="1"/>
  <c r="H143" i="1" s="1"/>
  <c r="D128" i="1" a="1"/>
  <c r="D128" i="1" s="1"/>
  <c r="F128" i="1" s="1" a="1"/>
  <c r="F128" i="1" s="1"/>
  <c r="H128" i="1" s="1"/>
  <c r="D147" i="1" a="1"/>
  <c r="D147" i="1" s="1"/>
  <c r="F147" i="1" s="1" a="1"/>
  <c r="F147" i="1" s="1"/>
  <c r="H147" i="1" s="1"/>
  <c r="D132" i="1" a="1"/>
  <c r="D132" i="1" s="1"/>
  <c r="F132" i="1" s="1" a="1"/>
  <c r="F132" i="1" s="1"/>
  <c r="H132" i="1" s="1"/>
  <c r="D138" i="1" a="1"/>
  <c r="D138" i="1" s="1"/>
  <c r="F138" i="1" s="1" a="1"/>
  <c r="F138" i="1" s="1"/>
  <c r="H138" i="1" s="1"/>
  <c r="D144" i="1" a="1"/>
  <c r="D144" i="1" s="1"/>
  <c r="F144" i="1" s="1" a="1"/>
  <c r="F144" i="1" s="1"/>
  <c r="H144" i="1" s="1"/>
  <c r="D129" i="1" a="1"/>
  <c r="D129" i="1" s="1"/>
  <c r="F129" i="1" s="1" a="1"/>
  <c r="F129" i="1" s="1"/>
  <c r="H129" i="1" s="1"/>
  <c r="D135" i="1" a="1"/>
  <c r="D135" i="1" s="1"/>
  <c r="F135" i="1" s="1" a="1"/>
  <c r="F135" i="1" s="1"/>
  <c r="H135" i="1" s="1"/>
  <c r="D141" i="1" a="1"/>
  <c r="D141" i="1" s="1"/>
  <c r="F141" i="1" s="1" a="1"/>
  <c r="F141" i="1" s="1"/>
  <c r="H141" i="1" s="1"/>
  <c r="E120" i="1"/>
  <c r="E104" i="1"/>
  <c r="E102" i="1"/>
  <c r="E103" i="1"/>
  <c r="E51" i="1"/>
  <c r="B51" i="1"/>
  <c r="B55" i="1"/>
  <c r="E55" i="1"/>
  <c r="B60" i="1"/>
  <c r="E60" i="1"/>
  <c r="E62" i="1"/>
  <c r="B62" i="1"/>
  <c r="E67" i="1"/>
  <c r="B67" i="1"/>
  <c r="E43" i="1"/>
  <c r="B43" i="1"/>
  <c r="E47" i="1"/>
  <c r="B47" i="1"/>
  <c r="E52" i="1"/>
  <c r="B52" i="1"/>
  <c r="E59" i="1"/>
  <c r="B59" i="1"/>
  <c r="B61" i="1"/>
  <c r="E61" i="1"/>
  <c r="D62" i="1" a="1"/>
  <c r="D62" i="1" s="1"/>
  <c r="F62" i="1" s="1" a="1"/>
  <c r="F62" i="1" s="1"/>
  <c r="D70" i="1" a="1"/>
  <c r="D70" i="1" s="1"/>
  <c r="F70" i="1" s="1" a="1"/>
  <c r="F70" i="1" s="1"/>
  <c r="D78" i="1" a="1"/>
  <c r="D78" i="1" s="1"/>
  <c r="F78" i="1" s="1" a="1"/>
  <c r="F78" i="1" s="1"/>
  <c r="D46" i="1" a="1"/>
  <c r="D46" i="1" s="1"/>
  <c r="F46" i="1" s="1" a="1"/>
  <c r="F46" i="1" s="1"/>
  <c r="D54" i="1" a="1"/>
  <c r="D54" i="1" s="1"/>
  <c r="F54" i="1" s="1" a="1"/>
  <c r="F54" i="1" s="1"/>
  <c r="E76" i="1"/>
  <c r="B76" i="1"/>
  <c r="E78" i="1"/>
  <c r="B78" i="1"/>
  <c r="B63" i="1"/>
  <c r="E63" i="1"/>
  <c r="D43" i="1" a="1"/>
  <c r="D43" i="1" s="1"/>
  <c r="F43" i="1" s="1" a="1"/>
  <c r="F43" i="1" s="1"/>
  <c r="D51" i="1" a="1"/>
  <c r="D51" i="1" s="1"/>
  <c r="F51" i="1" s="1" a="1"/>
  <c r="F51" i="1" s="1"/>
  <c r="D59" i="1" a="1"/>
  <c r="D59" i="1" s="1"/>
  <c r="F59" i="1" s="1" a="1"/>
  <c r="F59" i="1" s="1"/>
  <c r="D67" i="1" a="1"/>
  <c r="D67" i="1" s="1"/>
  <c r="F67" i="1" s="1" a="1"/>
  <c r="F67" i="1" s="1"/>
  <c r="D75" i="1" a="1"/>
  <c r="D75" i="1" s="1"/>
  <c r="F75" i="1" s="1" a="1"/>
  <c r="F75" i="1" s="1"/>
  <c r="B45" i="1"/>
  <c r="E45" i="1"/>
  <c r="E70" i="1"/>
  <c r="B70" i="1"/>
  <c r="E75" i="1"/>
  <c r="B75" i="1"/>
  <c r="D61" i="1" a="1"/>
  <c r="D61" i="1" s="1"/>
  <c r="F61" i="1" s="1" a="1"/>
  <c r="F61" i="1" s="1"/>
  <c r="D53" i="1" a="1"/>
  <c r="D53" i="1" s="1"/>
  <c r="F53" i="1" s="1" a="1"/>
  <c r="F53" i="1" s="1"/>
  <c r="D69" i="1" a="1"/>
  <c r="D69" i="1" s="1"/>
  <c r="F69" i="1" s="1" a="1"/>
  <c r="F69" i="1" s="1"/>
  <c r="D77" i="1" a="1"/>
  <c r="D77" i="1" s="1"/>
  <c r="F77" i="1" s="1" a="1"/>
  <c r="F77" i="1" s="1"/>
  <c r="D45" i="1" a="1"/>
  <c r="D45" i="1" s="1"/>
  <c r="F45" i="1" s="1" a="1"/>
  <c r="F45" i="1" s="1"/>
  <c r="B77" i="1"/>
  <c r="E77" i="1"/>
  <c r="E44" i="1"/>
  <c r="B44" i="1"/>
  <c r="D71" i="1" a="1"/>
  <c r="D71" i="1" s="1"/>
  <c r="F71" i="1" s="1" a="1"/>
  <c r="F71" i="1" s="1"/>
  <c r="D47" i="1" a="1"/>
  <c r="D47" i="1" s="1"/>
  <c r="F47" i="1" s="1" a="1"/>
  <c r="F47" i="1" s="1"/>
  <c r="D79" i="1" a="1"/>
  <c r="D79" i="1" s="1"/>
  <c r="F79" i="1" s="1" a="1"/>
  <c r="F79" i="1" s="1"/>
  <c r="D55" i="1" a="1"/>
  <c r="D55" i="1" s="1"/>
  <c r="F55" i="1" s="1" a="1"/>
  <c r="F55" i="1" s="1"/>
  <c r="D63" i="1" a="1"/>
  <c r="D63" i="1" s="1"/>
  <c r="F63" i="1" s="1" a="1"/>
  <c r="F63" i="1" s="1"/>
  <c r="E46" i="1"/>
  <c r="B46" i="1"/>
  <c r="B53" i="1"/>
  <c r="E53" i="1"/>
  <c r="D52" i="1" a="1"/>
  <c r="D52" i="1" s="1"/>
  <c r="F52" i="1" s="1" a="1"/>
  <c r="F52" i="1" s="1"/>
  <c r="D76" i="1" a="1"/>
  <c r="D76" i="1" s="1"/>
  <c r="F76" i="1" s="1" a="1"/>
  <c r="F76" i="1" s="1"/>
  <c r="D60" i="1" a="1"/>
  <c r="D60" i="1" s="1"/>
  <c r="F60" i="1" s="1" a="1"/>
  <c r="F60" i="1" s="1"/>
  <c r="D68" i="1" a="1"/>
  <c r="D68" i="1" s="1"/>
  <c r="F68" i="1" s="1" a="1"/>
  <c r="F68" i="1" s="1"/>
  <c r="D44" i="1" a="1"/>
  <c r="D44" i="1" s="1"/>
  <c r="F44" i="1" s="1" a="1"/>
  <c r="F44" i="1" s="1"/>
  <c r="E68" i="1"/>
  <c r="B68" i="1"/>
  <c r="B79" i="1"/>
  <c r="E79" i="1"/>
  <c r="B71" i="1"/>
  <c r="E71" i="1"/>
  <c r="B69" i="1"/>
  <c r="E69" i="1"/>
  <c r="E54" i="1"/>
  <c r="B54" i="1"/>
  <c r="B38" i="1"/>
  <c r="D38" i="1" a="1"/>
  <c r="D38" i="1" s="1"/>
  <c r="F38" i="1" s="1" a="1"/>
  <c r="F38" i="1" s="1"/>
  <c r="E38" i="1"/>
  <c r="B35" i="1"/>
  <c r="D35" i="1" a="1"/>
  <c r="D35" i="1" s="1"/>
  <c r="F35" i="1" s="1" a="1"/>
  <c r="F35" i="1" s="1"/>
  <c r="E35" i="1"/>
  <c r="D37" i="1" a="1"/>
  <c r="D37" i="1" s="1"/>
  <c r="F37" i="1" s="1" a="1"/>
  <c r="F37" i="1" s="1"/>
  <c r="B37" i="1"/>
  <c r="E37" i="1"/>
  <c r="E39" i="1"/>
  <c r="B39" i="1"/>
  <c r="D39" i="1" a="1"/>
  <c r="D39" i="1" s="1"/>
  <c r="F39" i="1" s="1" a="1"/>
  <c r="F39" i="1" s="1"/>
  <c r="E36" i="1"/>
  <c r="D36" i="1" a="1"/>
  <c r="D36" i="1" s="1"/>
  <c r="F36" i="1" s="1" a="1"/>
  <c r="F36" i="1" s="1"/>
  <c r="B36" i="1"/>
  <c r="C37" i="5"/>
  <c r="B37" i="5" s="1"/>
  <c r="C35" i="2"/>
  <c r="D75" i="2" s="1" a="1"/>
  <c r="D75" i="2" s="1"/>
  <c r="F75" i="2" s="1" a="1"/>
  <c r="F75" i="2" s="1"/>
  <c r="D119" i="1" a="1"/>
  <c r="D119" i="1" s="1"/>
  <c r="H38" i="8"/>
  <c r="D120" i="1" a="1"/>
  <c r="D120" i="1" s="1"/>
  <c r="F120" i="1" s="1" a="1"/>
  <c r="F120" i="1" s="1"/>
  <c r="E87" i="1"/>
  <c r="D87" i="1" a="1"/>
  <c r="D87" i="1" s="1"/>
  <c r="F87" i="1" s="1" a="1"/>
  <c r="F87" i="1" s="1"/>
  <c r="E88" i="1"/>
  <c r="D88" i="1" a="1"/>
  <c r="D88" i="1" s="1"/>
  <c r="F88" i="1" s="1" a="1"/>
  <c r="F88" i="1" s="1"/>
  <c r="F12" i="4"/>
  <c r="H12" i="4" s="1"/>
  <c r="E84" i="1"/>
  <c r="D85" i="1" a="1"/>
  <c r="D85" i="1" s="1"/>
  <c r="F85" i="1" s="1" a="1"/>
  <c r="F85" i="1" s="1"/>
  <c r="D84" i="1" a="1"/>
  <c r="D84" i="1" s="1"/>
  <c r="F84" i="1" s="1" a="1"/>
  <c r="F84" i="1" s="1"/>
  <c r="G37" i="6"/>
  <c r="C37" i="6"/>
  <c r="B37" i="6" s="1"/>
  <c r="C37" i="2"/>
  <c r="D77" i="2" s="1" a="1"/>
  <c r="D77" i="2" s="1"/>
  <c r="F77" i="2" s="1" a="1"/>
  <c r="F77" i="2" s="1"/>
  <c r="C37" i="4"/>
  <c r="E37" i="4" s="1"/>
  <c r="H186" i="1"/>
  <c r="C21" i="8" s="1"/>
  <c r="C29" i="4"/>
  <c r="B29" i="4" s="1"/>
  <c r="C36" i="6"/>
  <c r="E36" i="6" s="1"/>
  <c r="F13" i="4"/>
  <c r="H13" i="4" s="1"/>
  <c r="C36" i="5"/>
  <c r="E36" i="5" s="1"/>
  <c r="C28" i="2"/>
  <c r="E29" i="1"/>
  <c r="C36" i="2"/>
  <c r="D76" i="2" s="1" a="1"/>
  <c r="D76" i="2" s="1"/>
  <c r="F76" i="2" s="1" a="1"/>
  <c r="F76" i="2" s="1"/>
  <c r="G36" i="6"/>
  <c r="G29" i="4"/>
  <c r="C36" i="4"/>
  <c r="B36" i="4" s="1"/>
  <c r="E28" i="1"/>
  <c r="C35" i="4"/>
  <c r="E35" i="4" s="1"/>
  <c r="C29" i="5"/>
  <c r="B29" i="5" s="1"/>
  <c r="C39" i="2"/>
  <c r="D79" i="2" s="1" a="1"/>
  <c r="D79" i="2" s="1"/>
  <c r="F79" i="2" s="1" a="1"/>
  <c r="F79" i="2" s="1"/>
  <c r="C39" i="5"/>
  <c r="C39" i="4"/>
  <c r="E39" i="4" s="1"/>
  <c r="C39" i="6"/>
  <c r="C38" i="5"/>
  <c r="C38" i="6"/>
  <c r="C38" i="2"/>
  <c r="D78" i="2" s="1" a="1"/>
  <c r="D78" i="2" s="1"/>
  <c r="F78" i="2" s="1" a="1"/>
  <c r="F78" i="2" s="1"/>
  <c r="C38" i="4"/>
  <c r="C28" i="5"/>
  <c r="E28" i="5" s="1"/>
  <c r="B29" i="1"/>
  <c r="C29" i="6"/>
  <c r="D29" i="1" a="1"/>
  <c r="D29" i="1" s="1"/>
  <c r="F29" i="1" s="1" a="1"/>
  <c r="F29" i="1" s="1"/>
  <c r="C35" i="6"/>
  <c r="C35" i="5"/>
  <c r="C27" i="6"/>
  <c r="D27" i="1" a="1"/>
  <c r="D27" i="1" s="1"/>
  <c r="F27" i="1" s="1" a="1"/>
  <c r="F27" i="1" s="1"/>
  <c r="C27" i="5"/>
  <c r="C27" i="2"/>
  <c r="E27" i="1"/>
  <c r="C27" i="4"/>
  <c r="D28" i="1" a="1"/>
  <c r="D28" i="1" s="1"/>
  <c r="F28" i="1" s="1" a="1"/>
  <c r="F28" i="1" s="1"/>
  <c r="B27" i="1"/>
  <c r="C28" i="4"/>
  <c r="B28" i="4" s="1"/>
  <c r="G28" i="4"/>
  <c r="C28" i="6"/>
  <c r="L38" i="3"/>
  <c r="L39" i="3" s="1"/>
  <c r="N38" i="3"/>
  <c r="N39" i="3" s="1"/>
  <c r="L25" i="3"/>
  <c r="L26" i="3" s="1"/>
  <c r="N25" i="3"/>
  <c r="N26" i="3" s="1"/>
  <c r="J25" i="3"/>
  <c r="J26" i="3" s="1"/>
  <c r="D31" i="1" a="1"/>
  <c r="D31" i="1" s="1"/>
  <c r="F31" i="1" s="1" a="1"/>
  <c r="F31" i="1" s="1"/>
  <c r="E31" i="1"/>
  <c r="C31" i="2"/>
  <c r="C31" i="6"/>
  <c r="C31" i="5"/>
  <c r="C31" i="4"/>
  <c r="B31" i="1"/>
  <c r="E29" i="2"/>
  <c r="B29" i="2"/>
  <c r="D29" i="2" a="1"/>
  <c r="D29" i="2" s="1"/>
  <c r="F29" i="2" s="1" a="1"/>
  <c r="F29" i="2" s="1"/>
  <c r="C30" i="6"/>
  <c r="C30" i="5"/>
  <c r="D30" i="1" a="1"/>
  <c r="D30" i="1" s="1"/>
  <c r="F30" i="1" s="1" a="1"/>
  <c r="F30" i="1" s="1"/>
  <c r="C30" i="4"/>
  <c r="C30" i="2"/>
  <c r="E30" i="1"/>
  <c r="B30" i="1"/>
  <c r="G8" i="12"/>
  <c r="B8" i="6"/>
  <c r="F18" i="12"/>
  <c r="H23" i="4" l="1"/>
  <c r="D21" i="15"/>
  <c r="D30" i="15" s="1"/>
  <c r="F11" i="12"/>
  <c r="D172" i="2"/>
  <c r="G153" i="6"/>
  <c r="H153" i="6" s="1"/>
  <c r="G163" i="6"/>
  <c r="G152" i="6"/>
  <c r="G151" i="6"/>
  <c r="G167" i="6"/>
  <c r="H167" i="6" s="1"/>
  <c r="G166" i="6"/>
  <c r="H166" i="6" s="1"/>
  <c r="G165" i="6"/>
  <c r="G164" i="6"/>
  <c r="D14" i="15"/>
  <c r="I14" i="15" s="1"/>
  <c r="F7" i="15"/>
  <c r="F106" i="6" a="1"/>
  <c r="F106" i="6" s="1"/>
  <c r="H106" i="6" s="1"/>
  <c r="F111" i="6" a="1"/>
  <c r="F111" i="6" s="1"/>
  <c r="H111" i="6" s="1"/>
  <c r="F110" i="6" a="1"/>
  <c r="F110" i="6" s="1"/>
  <c r="H110" i="6" s="1"/>
  <c r="F107" i="6" a="1"/>
  <c r="F107" i="6" s="1"/>
  <c r="H107" i="6" s="1"/>
  <c r="F103" i="6" a="1"/>
  <c r="F103" i="6" s="1"/>
  <c r="H103" i="6" s="1"/>
  <c r="F102" i="6" a="1"/>
  <c r="F102" i="6" s="1"/>
  <c r="H102" i="6" s="1"/>
  <c r="H152" i="6"/>
  <c r="H151" i="6"/>
  <c r="F119" i="2" a="1"/>
  <c r="F119" i="2" s="1"/>
  <c r="H119" i="2" s="1"/>
  <c r="D122" i="6" a="1"/>
  <c r="D122" i="6" s="1"/>
  <c r="F122" i="6" s="1" a="1"/>
  <c r="F122" i="6" s="1"/>
  <c r="H122" i="6" s="1"/>
  <c r="D126" i="6" a="1"/>
  <c r="D126" i="6" s="1"/>
  <c r="F126" i="6" s="1" a="1"/>
  <c r="F126" i="6" s="1"/>
  <c r="H126" i="6" s="1"/>
  <c r="D125" i="6" a="1"/>
  <c r="D125" i="6" s="1"/>
  <c r="F125" i="6" s="1" a="1"/>
  <c r="F125" i="6" s="1"/>
  <c r="H125" i="6" s="1"/>
  <c r="D123" i="6" a="1"/>
  <c r="D123" i="6" s="1"/>
  <c r="F123" i="6" s="1" a="1"/>
  <c r="F123" i="6" s="1"/>
  <c r="H123" i="6" s="1"/>
  <c r="F115" i="1" a="1"/>
  <c r="F115" i="1" s="1"/>
  <c r="H115" i="1" s="1"/>
  <c r="F114" i="1" a="1"/>
  <c r="F114" i="1" s="1"/>
  <c r="H114" i="1" s="1"/>
  <c r="F115" i="2" a="1"/>
  <c r="F115" i="2" s="1"/>
  <c r="H115" i="2" s="1"/>
  <c r="F108" i="2" a="1"/>
  <c r="F108" i="2" s="1"/>
  <c r="H108" i="2" s="1"/>
  <c r="F114" i="2" a="1"/>
  <c r="F114" i="2" s="1"/>
  <c r="H114" i="2" s="1"/>
  <c r="F116" i="2" a="1"/>
  <c r="F116" i="2" s="1"/>
  <c r="H116" i="2" s="1"/>
  <c r="F116" i="1" a="1"/>
  <c r="F116" i="1" s="1"/>
  <c r="H116" i="1" s="1"/>
  <c r="H36" i="1"/>
  <c r="H165" i="2"/>
  <c r="F86" i="2"/>
  <c r="E46" i="5"/>
  <c r="B46" i="5"/>
  <c r="E70" i="5"/>
  <c r="B70" i="5"/>
  <c r="E78" i="2"/>
  <c r="H78" i="2" s="1"/>
  <c r="B78" i="2"/>
  <c r="E43" i="5"/>
  <c r="B43" i="5"/>
  <c r="E61" i="6"/>
  <c r="B61" i="6"/>
  <c r="E47" i="6"/>
  <c r="B47" i="6"/>
  <c r="E60" i="2"/>
  <c r="B60" i="2"/>
  <c r="E75" i="2"/>
  <c r="H75" i="2" s="1"/>
  <c r="B75" i="2"/>
  <c r="E69" i="2"/>
  <c r="B69" i="2"/>
  <c r="F83" i="2"/>
  <c r="E46" i="4"/>
  <c r="B46" i="4"/>
  <c r="E70" i="2"/>
  <c r="B70" i="2"/>
  <c r="E78" i="5"/>
  <c r="B78" i="5"/>
  <c r="E43" i="4"/>
  <c r="B43" i="4"/>
  <c r="E59" i="2"/>
  <c r="B59" i="2"/>
  <c r="E47" i="5"/>
  <c r="B47" i="5"/>
  <c r="B60" i="5"/>
  <c r="E60" i="5"/>
  <c r="E75" i="5"/>
  <c r="B75" i="5"/>
  <c r="E69" i="6"/>
  <c r="B69" i="6"/>
  <c r="B46" i="2"/>
  <c r="E46" i="2"/>
  <c r="E70" i="6"/>
  <c r="B70" i="6"/>
  <c r="B76" i="6"/>
  <c r="E76" i="6"/>
  <c r="B68" i="2"/>
  <c r="E68" i="2"/>
  <c r="E59" i="6"/>
  <c r="B59" i="6"/>
  <c r="E47" i="4"/>
  <c r="B47" i="4"/>
  <c r="B60" i="4"/>
  <c r="E60" i="4"/>
  <c r="E75" i="4"/>
  <c r="B75" i="4"/>
  <c r="E69" i="5"/>
  <c r="B69" i="5"/>
  <c r="B44" i="5"/>
  <c r="E44" i="5"/>
  <c r="E45" i="5"/>
  <c r="B45" i="5"/>
  <c r="B76" i="5"/>
  <c r="E76" i="5"/>
  <c r="B68" i="6"/>
  <c r="E68" i="6"/>
  <c r="E59" i="5"/>
  <c r="B59" i="5"/>
  <c r="E47" i="2"/>
  <c r="B47" i="2"/>
  <c r="E55" i="6"/>
  <c r="B55" i="6"/>
  <c r="E69" i="4"/>
  <c r="B69" i="4"/>
  <c r="B44" i="2"/>
  <c r="E44" i="2"/>
  <c r="E45" i="4"/>
  <c r="B45" i="4"/>
  <c r="B76" i="4"/>
  <c r="E76" i="4"/>
  <c r="B68" i="5"/>
  <c r="E68" i="5"/>
  <c r="E59" i="4"/>
  <c r="B59" i="4"/>
  <c r="E67" i="2"/>
  <c r="B67" i="2"/>
  <c r="B55" i="5"/>
  <c r="E55" i="5"/>
  <c r="E63" i="5"/>
  <c r="B63" i="5"/>
  <c r="E71" i="4"/>
  <c r="B71" i="4"/>
  <c r="E62" i="5"/>
  <c r="B62" i="5"/>
  <c r="B44" i="4"/>
  <c r="E44" i="4"/>
  <c r="E45" i="2"/>
  <c r="H45" i="2" s="1"/>
  <c r="B45" i="2"/>
  <c r="B76" i="2"/>
  <c r="E76" i="2"/>
  <c r="H76" i="2" s="1"/>
  <c r="E68" i="4"/>
  <c r="B68" i="4"/>
  <c r="E67" i="6"/>
  <c r="B67" i="6"/>
  <c r="E55" i="4"/>
  <c r="B55" i="4"/>
  <c r="E63" i="4"/>
  <c r="B63" i="4"/>
  <c r="E71" i="5"/>
  <c r="B71" i="5"/>
  <c r="E62" i="4"/>
  <c r="B62" i="4"/>
  <c r="B44" i="6"/>
  <c r="E44" i="6"/>
  <c r="E45" i="6"/>
  <c r="B45" i="6"/>
  <c r="B52" i="2"/>
  <c r="E52" i="2"/>
  <c r="E67" i="5"/>
  <c r="B67" i="5"/>
  <c r="E55" i="2"/>
  <c r="B55" i="2"/>
  <c r="E63" i="6"/>
  <c r="B63" i="6"/>
  <c r="E71" i="6"/>
  <c r="B71" i="6"/>
  <c r="E62" i="2"/>
  <c r="B62" i="2"/>
  <c r="B53" i="4"/>
  <c r="E53" i="4"/>
  <c r="E77" i="6"/>
  <c r="B77" i="6"/>
  <c r="B52" i="6"/>
  <c r="E52" i="6"/>
  <c r="B67" i="4"/>
  <c r="E67" i="4"/>
  <c r="E51" i="2"/>
  <c r="B51" i="2"/>
  <c r="E63" i="2"/>
  <c r="B63" i="2"/>
  <c r="E71" i="2"/>
  <c r="B71" i="2"/>
  <c r="E62" i="6"/>
  <c r="B62" i="6"/>
  <c r="E53" i="2"/>
  <c r="B53" i="2"/>
  <c r="E77" i="2"/>
  <c r="H77" i="2" s="1"/>
  <c r="B77" i="2"/>
  <c r="B52" i="5"/>
  <c r="E52" i="5"/>
  <c r="E79" i="5"/>
  <c r="B79" i="5"/>
  <c r="E51" i="6"/>
  <c r="B51" i="6"/>
  <c r="E54" i="4"/>
  <c r="B54" i="4"/>
  <c r="B53" i="5"/>
  <c r="E53" i="5"/>
  <c r="E77" i="5"/>
  <c r="B77" i="5"/>
  <c r="B52" i="4"/>
  <c r="E52" i="4"/>
  <c r="E61" i="2"/>
  <c r="H61" i="2" s="1"/>
  <c r="B61" i="2"/>
  <c r="E79" i="4"/>
  <c r="B79" i="4"/>
  <c r="B51" i="5"/>
  <c r="E51" i="5"/>
  <c r="E54" i="6"/>
  <c r="B54" i="6"/>
  <c r="E53" i="6"/>
  <c r="B53" i="6"/>
  <c r="E77" i="4"/>
  <c r="B77" i="4"/>
  <c r="E78" i="4"/>
  <c r="B78" i="4"/>
  <c r="E43" i="2"/>
  <c r="B43" i="2"/>
  <c r="E61" i="5"/>
  <c r="B61" i="5"/>
  <c r="B79" i="2"/>
  <c r="E79" i="2"/>
  <c r="H79" i="2" s="1"/>
  <c r="E51" i="4"/>
  <c r="B51" i="4"/>
  <c r="E54" i="5"/>
  <c r="B54" i="5"/>
  <c r="E46" i="6"/>
  <c r="B46" i="6"/>
  <c r="E70" i="4"/>
  <c r="B70" i="4"/>
  <c r="E78" i="6"/>
  <c r="B78" i="6"/>
  <c r="E43" i="6"/>
  <c r="B43" i="6"/>
  <c r="E61" i="4"/>
  <c r="B61" i="4"/>
  <c r="E79" i="6"/>
  <c r="B79" i="6"/>
  <c r="B60" i="6"/>
  <c r="E60" i="6"/>
  <c r="E75" i="6"/>
  <c r="B75" i="6"/>
  <c r="E54" i="2"/>
  <c r="B54" i="2"/>
  <c r="D128" i="6" a="1"/>
  <c r="D128" i="6" s="1"/>
  <c r="F128" i="6" s="1" a="1"/>
  <c r="F128" i="6" s="1"/>
  <c r="H128" i="6" s="1"/>
  <c r="D134" i="6" a="1"/>
  <c r="D134" i="6" s="1"/>
  <c r="F134" i="6" s="1" a="1"/>
  <c r="F134" i="6" s="1"/>
  <c r="H134" i="6" s="1"/>
  <c r="D137" i="6" a="1"/>
  <c r="D137" i="6" s="1"/>
  <c r="F137" i="6" s="1" a="1"/>
  <c r="F137" i="6" s="1"/>
  <c r="H137" i="6" s="1"/>
  <c r="D132" i="6" a="1"/>
  <c r="D132" i="6" s="1"/>
  <c r="F132" i="6" s="1" a="1"/>
  <c r="F132" i="6" s="1"/>
  <c r="H132" i="6" s="1"/>
  <c r="D119" i="6" a="1"/>
  <c r="D119" i="6" s="1"/>
  <c r="D146" i="6" a="1"/>
  <c r="D146" i="6" s="1"/>
  <c r="F146" i="6" s="1" a="1"/>
  <c r="F146" i="6" s="1"/>
  <c r="H146" i="6" s="1"/>
  <c r="D129" i="6" a="1"/>
  <c r="D129" i="6" s="1"/>
  <c r="F129" i="6" s="1" a="1"/>
  <c r="F129" i="6" s="1"/>
  <c r="H129" i="6" s="1"/>
  <c r="D135" i="6" a="1"/>
  <c r="D135" i="6" s="1"/>
  <c r="F135" i="6" s="1" a="1"/>
  <c r="F135" i="6" s="1"/>
  <c r="H135" i="6" s="1"/>
  <c r="D147" i="6" a="1"/>
  <c r="D147" i="6" s="1"/>
  <c r="F147" i="6" s="1" a="1"/>
  <c r="F147" i="6" s="1"/>
  <c r="H147" i="6" s="1"/>
  <c r="D131" i="6" a="1"/>
  <c r="D131" i="6" s="1"/>
  <c r="F131" i="6" s="1" a="1"/>
  <c r="F131" i="6" s="1"/>
  <c r="H131" i="6" s="1"/>
  <c r="D141" i="6" a="1"/>
  <c r="D141" i="6" s="1"/>
  <c r="F141" i="6" s="1" a="1"/>
  <c r="F141" i="6" s="1"/>
  <c r="H141" i="6" s="1"/>
  <c r="D143" i="6" a="1"/>
  <c r="D143" i="6" s="1"/>
  <c r="F143" i="6" s="1" a="1"/>
  <c r="F143" i="6" s="1"/>
  <c r="H143" i="6" s="1"/>
  <c r="D138" i="6" a="1"/>
  <c r="D138" i="6" s="1"/>
  <c r="F138" i="6" s="1" a="1"/>
  <c r="F138" i="6" s="1"/>
  <c r="H138" i="6" s="1"/>
  <c r="D140" i="6" a="1"/>
  <c r="D140" i="6" s="1"/>
  <c r="F140" i="6" s="1" a="1"/>
  <c r="F140" i="6" s="1"/>
  <c r="H140" i="6" s="1"/>
  <c r="D120" i="6" a="1"/>
  <c r="D120" i="6" s="1"/>
  <c r="F120" i="6" s="1" a="1"/>
  <c r="F120" i="6" s="1"/>
  <c r="H120" i="6" s="1"/>
  <c r="D144" i="6" a="1"/>
  <c r="D144" i="6" s="1"/>
  <c r="F144" i="6" s="1" a="1"/>
  <c r="F144" i="6" s="1"/>
  <c r="H144" i="6" s="1"/>
  <c r="F162" i="6"/>
  <c r="D69" i="6" a="1"/>
  <c r="D69" i="6" s="1"/>
  <c r="F69" i="6" s="1" a="1"/>
  <c r="F69" i="6" s="1"/>
  <c r="D79" i="6" a="1"/>
  <c r="D79" i="6" s="1"/>
  <c r="F79" i="6" s="1" a="1"/>
  <c r="F79" i="6" s="1"/>
  <c r="D75" i="6" a="1"/>
  <c r="D75" i="6" s="1"/>
  <c r="F75" i="6" s="1" a="1"/>
  <c r="F75" i="6" s="1"/>
  <c r="D59" i="6" a="1"/>
  <c r="D59" i="6" s="1"/>
  <c r="F59" i="6" s="1" a="1"/>
  <c r="F59" i="6" s="1"/>
  <c r="D53" i="6" a="1"/>
  <c r="D53" i="6" s="1"/>
  <c r="F53" i="6" s="1" a="1"/>
  <c r="F53" i="6" s="1"/>
  <c r="D47" i="6" a="1"/>
  <c r="D47" i="6" s="1"/>
  <c r="F47" i="6" s="1" a="1"/>
  <c r="F47" i="6" s="1"/>
  <c r="D44" i="6" a="1"/>
  <c r="D44" i="6" s="1"/>
  <c r="F44" i="6" s="1" a="1"/>
  <c r="F44" i="6" s="1"/>
  <c r="D62" i="6" a="1"/>
  <c r="D62" i="6" s="1"/>
  <c r="F62" i="6" s="1" a="1"/>
  <c r="F62" i="6" s="1"/>
  <c r="D78" i="6" a="1"/>
  <c r="D78" i="6" s="1"/>
  <c r="F78" i="6" s="1" a="1"/>
  <c r="F78" i="6" s="1"/>
  <c r="D68" i="6" a="1"/>
  <c r="D68" i="6" s="1"/>
  <c r="F68" i="6" s="1" a="1"/>
  <c r="F68" i="6" s="1"/>
  <c r="D43" i="6" a="1"/>
  <c r="D43" i="6" s="1"/>
  <c r="F43" i="6" s="1" a="1"/>
  <c r="F43" i="6" s="1"/>
  <c r="D71" i="6" a="1"/>
  <c r="D71" i="6" s="1"/>
  <c r="F71" i="6" s="1" a="1"/>
  <c r="F71" i="6" s="1"/>
  <c r="D61" i="6" a="1"/>
  <c r="D61" i="6" s="1"/>
  <c r="F61" i="6" s="1" a="1"/>
  <c r="F61" i="6" s="1"/>
  <c r="D52" i="6" a="1"/>
  <c r="D52" i="6" s="1"/>
  <c r="F52" i="6" s="1" a="1"/>
  <c r="F52" i="6" s="1"/>
  <c r="D46" i="6" a="1"/>
  <c r="D46" i="6" s="1"/>
  <c r="F46" i="6" s="1" a="1"/>
  <c r="F46" i="6" s="1"/>
  <c r="D55" i="6" a="1"/>
  <c r="D55" i="6" s="1"/>
  <c r="F55" i="6" s="1" a="1"/>
  <c r="F55" i="6" s="1"/>
  <c r="D77" i="6" a="1"/>
  <c r="D77" i="6" s="1"/>
  <c r="F77" i="6" s="1" a="1"/>
  <c r="F77" i="6" s="1"/>
  <c r="D67" i="6" a="1"/>
  <c r="D67" i="6" s="1"/>
  <c r="F67" i="6" s="1" a="1"/>
  <c r="F67" i="6" s="1"/>
  <c r="D54" i="6" a="1"/>
  <c r="D54" i="6" s="1"/>
  <c r="F54" i="6" s="1" a="1"/>
  <c r="F54" i="6" s="1"/>
  <c r="D70" i="6" a="1"/>
  <c r="D70" i="6" s="1"/>
  <c r="F70" i="6" s="1" a="1"/>
  <c r="F70" i="6" s="1"/>
  <c r="D51" i="6" a="1"/>
  <c r="D51" i="6" s="1"/>
  <c r="F51" i="6" s="1" a="1"/>
  <c r="F51" i="6" s="1"/>
  <c r="D45" i="6" a="1"/>
  <c r="D45" i="6" s="1"/>
  <c r="F45" i="6" s="1" a="1"/>
  <c r="F45" i="6" s="1"/>
  <c r="D63" i="6" a="1"/>
  <c r="D63" i="6" s="1"/>
  <c r="F63" i="6" s="1" a="1"/>
  <c r="F63" i="6" s="1"/>
  <c r="D76" i="6" a="1"/>
  <c r="D76" i="6" s="1"/>
  <c r="F76" i="6" s="1" a="1"/>
  <c r="F76" i="6" s="1"/>
  <c r="D60" i="6" a="1"/>
  <c r="D60" i="6" s="1"/>
  <c r="F60" i="6" s="1" a="1"/>
  <c r="F60" i="6" s="1"/>
  <c r="D36" i="2" a="1"/>
  <c r="D36" i="2" s="1"/>
  <c r="F36" i="2" s="1" a="1"/>
  <c r="F36" i="2" s="1"/>
  <c r="D52" i="2" a="1"/>
  <c r="D52" i="2" s="1"/>
  <c r="F52" i="2" s="1" a="1"/>
  <c r="F52" i="2" s="1"/>
  <c r="D68" i="2" a="1"/>
  <c r="D68" i="2" s="1"/>
  <c r="F68" i="2" s="1" a="1"/>
  <c r="F68" i="2" s="1"/>
  <c r="D28" i="2" a="1"/>
  <c r="D28" i="2" s="1"/>
  <c r="F28" i="2" s="1" a="1"/>
  <c r="F28" i="2" s="1"/>
  <c r="D44" i="2" a="1"/>
  <c r="D44" i="2" s="1"/>
  <c r="F44" i="2" s="1" a="1"/>
  <c r="F44" i="2" s="1"/>
  <c r="D60" i="2" a="1"/>
  <c r="D60" i="2" s="1"/>
  <c r="F60" i="2" s="1" a="1"/>
  <c r="F60" i="2" s="1"/>
  <c r="D37" i="2" a="1"/>
  <c r="D37" i="2" s="1"/>
  <c r="F37" i="2" s="1" a="1"/>
  <c r="F37" i="2" s="1"/>
  <c r="D53" i="2" a="1"/>
  <c r="D53" i="2" s="1"/>
  <c r="F53" i="2" s="1" a="1"/>
  <c r="F53" i="2" s="1"/>
  <c r="D69" i="2" a="1"/>
  <c r="D69" i="2" s="1"/>
  <c r="F69" i="2" s="1" a="1"/>
  <c r="F69" i="2" s="1"/>
  <c r="D43" i="2" a="1"/>
  <c r="D43" i="2" s="1"/>
  <c r="F43" i="2" s="1" a="1"/>
  <c r="F43" i="2" s="1"/>
  <c r="D59" i="2" a="1"/>
  <c r="D59" i="2" s="1"/>
  <c r="F59" i="2" s="1" a="1"/>
  <c r="F59" i="2" s="1"/>
  <c r="D55" i="2" a="1"/>
  <c r="D55" i="2" s="1"/>
  <c r="F55" i="2" s="1" a="1"/>
  <c r="F55" i="2" s="1"/>
  <c r="D71" i="2" a="1"/>
  <c r="D71" i="2" s="1"/>
  <c r="F71" i="2" s="1" a="1"/>
  <c r="F71" i="2" s="1"/>
  <c r="D62" i="2" a="1"/>
  <c r="D62" i="2" s="1"/>
  <c r="F62" i="2" s="1" a="1"/>
  <c r="F62" i="2" s="1"/>
  <c r="D46" i="2" a="1"/>
  <c r="D46" i="2" s="1"/>
  <c r="F46" i="2" s="1" a="1"/>
  <c r="F46" i="2" s="1"/>
  <c r="D63" i="2" a="1"/>
  <c r="D63" i="2" s="1"/>
  <c r="F63" i="2" s="1" a="1"/>
  <c r="F63" i="2" s="1"/>
  <c r="D47" i="2" a="1"/>
  <c r="D47" i="2" s="1"/>
  <c r="F47" i="2" s="1" a="1"/>
  <c r="F47" i="2" s="1"/>
  <c r="D70" i="2" a="1"/>
  <c r="D70" i="2" s="1"/>
  <c r="F70" i="2" s="1" a="1"/>
  <c r="F70" i="2" s="1"/>
  <c r="D54" i="2" a="1"/>
  <c r="D54" i="2" s="1"/>
  <c r="F54" i="2" s="1" a="1"/>
  <c r="F54" i="2" s="1"/>
  <c r="D35" i="2" a="1"/>
  <c r="D35" i="2" s="1"/>
  <c r="F35" i="2" s="1" a="1"/>
  <c r="F35" i="2" s="1"/>
  <c r="D67" i="2" a="1"/>
  <c r="D67" i="2" s="1"/>
  <c r="F67" i="2" s="1" a="1"/>
  <c r="F67" i="2" s="1"/>
  <c r="D51" i="2" a="1"/>
  <c r="D51" i="2" s="1"/>
  <c r="F51" i="2" s="1" a="1"/>
  <c r="F51" i="2" s="1"/>
  <c r="F111" i="1" a="1"/>
  <c r="F111" i="1" s="1"/>
  <c r="H111" i="1" s="1"/>
  <c r="F110" i="1" a="1"/>
  <c r="F110" i="1" s="1"/>
  <c r="H110" i="1" s="1"/>
  <c r="H112" i="1"/>
  <c r="F107" i="1" a="1"/>
  <c r="F107" i="1" s="1"/>
  <c r="H107" i="1" s="1"/>
  <c r="F106" i="1" a="1"/>
  <c r="F106" i="1" s="1"/>
  <c r="H106" i="1" s="1"/>
  <c r="H108" i="1"/>
  <c r="H71" i="1"/>
  <c r="H53" i="1"/>
  <c r="E37" i="5"/>
  <c r="H79" i="1"/>
  <c r="B35" i="2"/>
  <c r="H43" i="1"/>
  <c r="E48" i="1"/>
  <c r="H46" i="1"/>
  <c r="E72" i="1"/>
  <c r="H67" i="1"/>
  <c r="H61" i="1"/>
  <c r="H63" i="1"/>
  <c r="H62" i="1"/>
  <c r="H68" i="1"/>
  <c r="H60" i="1"/>
  <c r="H75" i="1"/>
  <c r="E80" i="1"/>
  <c r="H59" i="1"/>
  <c r="E64" i="1"/>
  <c r="H78" i="1"/>
  <c r="H55" i="1"/>
  <c r="H70" i="1"/>
  <c r="H52" i="1"/>
  <c r="H54" i="1"/>
  <c r="H44" i="1"/>
  <c r="H45" i="1"/>
  <c r="H76" i="1"/>
  <c r="H69" i="1"/>
  <c r="H77" i="1"/>
  <c r="H47" i="1"/>
  <c r="E56" i="1"/>
  <c r="H51" i="1"/>
  <c r="H39" i="1"/>
  <c r="H37" i="1"/>
  <c r="H35" i="1"/>
  <c r="H38" i="1"/>
  <c r="E35" i="2"/>
  <c r="H104" i="1"/>
  <c r="F103" i="1" a="1"/>
  <c r="F103" i="1" s="1"/>
  <c r="H103" i="1" s="1"/>
  <c r="H102" i="1"/>
  <c r="E224" i="6"/>
  <c r="D224" i="6"/>
  <c r="D226" i="6"/>
  <c r="E225" i="6"/>
  <c r="E227" i="6"/>
  <c r="D227" i="6"/>
  <c r="E226" i="6"/>
  <c r="D225" i="6"/>
  <c r="F161" i="6"/>
  <c r="D161" i="6"/>
  <c r="D160" i="6"/>
  <c r="F159" i="6"/>
  <c r="F160" i="6"/>
  <c r="D159" i="6"/>
  <c r="F158" i="6"/>
  <c r="D158" i="6"/>
  <c r="G37" i="5"/>
  <c r="G37" i="4"/>
  <c r="G37" i="2"/>
  <c r="D88" i="6" a="1"/>
  <c r="D88" i="6" s="1"/>
  <c r="F88" i="6" s="1" a="1"/>
  <c r="F88" i="6" s="1"/>
  <c r="H88" i="6" s="1"/>
  <c r="D87" i="6" a="1"/>
  <c r="D87" i="6" s="1"/>
  <c r="F87" i="6" s="1" a="1"/>
  <c r="F87" i="6" s="1"/>
  <c r="H87" i="6" s="1"/>
  <c r="D85" i="6" a="1"/>
  <c r="D85" i="6" s="1"/>
  <c r="F85" i="6" s="1" a="1"/>
  <c r="F85" i="6" s="1"/>
  <c r="H85" i="6" s="1"/>
  <c r="D84" i="6" a="1"/>
  <c r="D84" i="6" s="1"/>
  <c r="F84" i="6" s="1" a="1"/>
  <c r="F84" i="6" s="1"/>
  <c r="H84" i="6" s="1"/>
  <c r="H119" i="1"/>
  <c r="H120" i="1"/>
  <c r="B36" i="6"/>
  <c r="H88" i="1"/>
  <c r="H87" i="1"/>
  <c r="E37" i="6"/>
  <c r="E29" i="4"/>
  <c r="B37" i="2"/>
  <c r="H84" i="1"/>
  <c r="B37" i="4"/>
  <c r="H85" i="1"/>
  <c r="E37" i="2"/>
  <c r="B28" i="2"/>
  <c r="G36" i="5"/>
  <c r="E36" i="2"/>
  <c r="G36" i="4"/>
  <c r="G36" i="2"/>
  <c r="E36" i="4"/>
  <c r="B39" i="4"/>
  <c r="G29" i="5"/>
  <c r="G29" i="6"/>
  <c r="H29" i="1"/>
  <c r="B36" i="5"/>
  <c r="G29" i="2"/>
  <c r="H29" i="2" s="1"/>
  <c r="E28" i="2"/>
  <c r="B36" i="2"/>
  <c r="B35" i="4"/>
  <c r="E29" i="5"/>
  <c r="E28" i="4"/>
  <c r="E32" i="1"/>
  <c r="H28" i="1"/>
  <c r="E40" i="1"/>
  <c r="G28" i="6"/>
  <c r="G28" i="5"/>
  <c r="G39" i="4"/>
  <c r="G39" i="2"/>
  <c r="G39" i="5"/>
  <c r="G39" i="6"/>
  <c r="G28" i="2"/>
  <c r="H27" i="1"/>
  <c r="B39" i="6"/>
  <c r="E39" i="6"/>
  <c r="E39" i="5"/>
  <c r="B39" i="5"/>
  <c r="B28" i="5"/>
  <c r="B39" i="2"/>
  <c r="D39" i="2" a="1"/>
  <c r="D39" i="2" s="1"/>
  <c r="F39" i="2" s="1" a="1"/>
  <c r="F39" i="2" s="1"/>
  <c r="E39" i="2"/>
  <c r="B27" i="2"/>
  <c r="E27" i="2"/>
  <c r="D27" i="2" a="1"/>
  <c r="D27" i="2" s="1"/>
  <c r="F27" i="2" s="1" a="1"/>
  <c r="F27" i="2" s="1"/>
  <c r="G27" i="4"/>
  <c r="G27" i="2"/>
  <c r="G27" i="6"/>
  <c r="G27" i="5"/>
  <c r="E28" i="6"/>
  <c r="B28" i="6"/>
  <c r="E27" i="4"/>
  <c r="B27" i="4"/>
  <c r="E27" i="5"/>
  <c r="B27" i="5"/>
  <c r="B29" i="6"/>
  <c r="E29" i="6"/>
  <c r="E38" i="6"/>
  <c r="B38" i="6"/>
  <c r="G35" i="2"/>
  <c r="G35" i="4"/>
  <c r="G35" i="6"/>
  <c r="G35" i="5"/>
  <c r="B38" i="4"/>
  <c r="E38" i="4"/>
  <c r="E38" i="5"/>
  <c r="B38" i="5"/>
  <c r="B27" i="6"/>
  <c r="E27" i="6"/>
  <c r="E35" i="5"/>
  <c r="B35" i="5"/>
  <c r="E35" i="6"/>
  <c r="B35" i="6"/>
  <c r="E38" i="2"/>
  <c r="B38" i="2"/>
  <c r="D38" i="2" a="1"/>
  <c r="D38" i="2" s="1"/>
  <c r="F38" i="2" s="1" a="1"/>
  <c r="F38" i="2" s="1"/>
  <c r="G38" i="2"/>
  <c r="G38" i="5"/>
  <c r="G38" i="6"/>
  <c r="G38" i="4"/>
  <c r="E31" i="5"/>
  <c r="B31" i="5"/>
  <c r="G31" i="4"/>
  <c r="G31" i="5"/>
  <c r="G31" i="6"/>
  <c r="G31" i="2"/>
  <c r="H30" i="1"/>
  <c r="G30" i="6"/>
  <c r="G30" i="2"/>
  <c r="G30" i="4"/>
  <c r="G30" i="5"/>
  <c r="B30" i="2"/>
  <c r="E30" i="2"/>
  <c r="D30" i="2" a="1"/>
  <c r="D30" i="2" s="1"/>
  <c r="F30" i="2" s="1" a="1"/>
  <c r="F30" i="2" s="1"/>
  <c r="E30" i="5"/>
  <c r="B30" i="5"/>
  <c r="E31" i="2"/>
  <c r="B31" i="2"/>
  <c r="D31" i="2" a="1"/>
  <c r="D31" i="2" s="1"/>
  <c r="F31" i="2" s="1" a="1"/>
  <c r="F31" i="2" s="1"/>
  <c r="E31" i="6"/>
  <c r="B31" i="6"/>
  <c r="D35" i="6" a="1"/>
  <c r="D35" i="6" s="1"/>
  <c r="F35" i="6" s="1" a="1"/>
  <c r="F35" i="6" s="1"/>
  <c r="D30" i="6" a="1"/>
  <c r="D30" i="6" s="1"/>
  <c r="F30" i="6" s="1" a="1"/>
  <c r="F30" i="6" s="1"/>
  <c r="D37" i="6" a="1"/>
  <c r="D37" i="6" s="1"/>
  <c r="F37" i="6" s="1" a="1"/>
  <c r="F37" i="6" s="1"/>
  <c r="D36" i="6" a="1"/>
  <c r="D36" i="6" s="1"/>
  <c r="F36" i="6" s="1" a="1"/>
  <c r="F36" i="6" s="1"/>
  <c r="H36" i="6" s="1"/>
  <c r="D39" i="6" a="1"/>
  <c r="D39" i="6" s="1"/>
  <c r="F39" i="6" s="1" a="1"/>
  <c r="F39" i="6" s="1"/>
  <c r="H7" i="12"/>
  <c r="D28" i="6" a="1"/>
  <c r="D28" i="6" s="1"/>
  <c r="F28" i="6" s="1" a="1"/>
  <c r="F28" i="6" s="1"/>
  <c r="D31" i="6" a="1"/>
  <c r="D31" i="6" s="1"/>
  <c r="F31" i="6" s="1" a="1"/>
  <c r="F31" i="6" s="1"/>
  <c r="D27" i="6" a="1"/>
  <c r="D27" i="6" s="1"/>
  <c r="F27" i="6" s="1" a="1"/>
  <c r="F27" i="6" s="1"/>
  <c r="D8" i="6"/>
  <c r="F8" i="15" s="1"/>
  <c r="D38" i="6" a="1"/>
  <c r="D38" i="6" s="1"/>
  <c r="F38" i="6" s="1" a="1"/>
  <c r="F38" i="6" s="1"/>
  <c r="D29" i="6" a="1"/>
  <c r="D29" i="6" s="1"/>
  <c r="F29" i="6" s="1" a="1"/>
  <c r="F29" i="6" s="1"/>
  <c r="B172" i="6"/>
  <c r="B30" i="4"/>
  <c r="E30" i="4"/>
  <c r="E30" i="6"/>
  <c r="B30" i="6"/>
  <c r="E31" i="4"/>
  <c r="B31" i="4"/>
  <c r="H31" i="1"/>
  <c r="H148" i="2" l="1"/>
  <c r="F148" i="1"/>
  <c r="H164" i="1" s="1"/>
  <c r="D12" i="15"/>
  <c r="F148" i="2"/>
  <c r="H164" i="2" s="1"/>
  <c r="H46" i="2"/>
  <c r="H52" i="6"/>
  <c r="H54" i="6"/>
  <c r="H43" i="6"/>
  <c r="H68" i="6"/>
  <c r="H46" i="6"/>
  <c r="H77" i="6"/>
  <c r="F119" i="6" a="1"/>
  <c r="F119" i="6" s="1"/>
  <c r="H119" i="6" s="1"/>
  <c r="H79" i="6"/>
  <c r="H51" i="2"/>
  <c r="H63" i="6"/>
  <c r="H69" i="6"/>
  <c r="H60" i="2"/>
  <c r="H44" i="2"/>
  <c r="F112" i="6" a="1"/>
  <c r="F112" i="6" s="1"/>
  <c r="H112" i="6" s="1"/>
  <c r="F115" i="6" a="1"/>
  <c r="F115" i="6" s="1"/>
  <c r="H115" i="6" s="1"/>
  <c r="F104" i="6" a="1"/>
  <c r="F104" i="6" s="1"/>
  <c r="H104" i="6" s="1"/>
  <c r="F114" i="6" a="1"/>
  <c r="F114" i="6" s="1"/>
  <c r="H114" i="6" s="1"/>
  <c r="F116" i="6" a="1"/>
  <c r="F116" i="6" s="1"/>
  <c r="H116" i="6" s="1"/>
  <c r="F108" i="6" a="1"/>
  <c r="F108" i="6" s="1"/>
  <c r="H108" i="6" s="1"/>
  <c r="H59" i="2"/>
  <c r="H70" i="6"/>
  <c r="H47" i="2"/>
  <c r="H63" i="2"/>
  <c r="H62" i="2"/>
  <c r="H69" i="2"/>
  <c r="H45" i="6"/>
  <c r="H71" i="2"/>
  <c r="H60" i="6"/>
  <c r="H76" i="6"/>
  <c r="H43" i="2"/>
  <c r="H51" i="6"/>
  <c r="H52" i="2"/>
  <c r="H75" i="6"/>
  <c r="H70" i="2"/>
  <c r="E72" i="2"/>
  <c r="H59" i="6"/>
  <c r="E48" i="2"/>
  <c r="H67" i="2"/>
  <c r="H78" i="6"/>
  <c r="H54" i="2"/>
  <c r="H47" i="6"/>
  <c r="E56" i="5"/>
  <c r="H55" i="2"/>
  <c r="E80" i="4"/>
  <c r="E48" i="6"/>
  <c r="E72" i="4"/>
  <c r="H53" i="2"/>
  <c r="E56" i="4"/>
  <c r="H62" i="6"/>
  <c r="H80" i="2"/>
  <c r="E56" i="6"/>
  <c r="E80" i="6"/>
  <c r="H44" i="6"/>
  <c r="E64" i="5"/>
  <c r="H67" i="6"/>
  <c r="H68" i="2"/>
  <c r="H53" i="6"/>
  <c r="E72" i="6"/>
  <c r="E64" i="4"/>
  <c r="E64" i="2"/>
  <c r="H55" i="6"/>
  <c r="E80" i="2"/>
  <c r="E64" i="6"/>
  <c r="E80" i="5"/>
  <c r="E56" i="2"/>
  <c r="E48" i="4"/>
  <c r="H61" i="6"/>
  <c r="H71" i="6"/>
  <c r="E72" i="5"/>
  <c r="E48" i="5"/>
  <c r="H148" i="1"/>
  <c r="C15" i="8" s="1"/>
  <c r="H165" i="6"/>
  <c r="H35" i="2"/>
  <c r="H80" i="1"/>
  <c r="H64" i="1"/>
  <c r="H72" i="1"/>
  <c r="H56" i="1"/>
  <c r="H48" i="1"/>
  <c r="F86" i="6"/>
  <c r="H37" i="2"/>
  <c r="F83" i="6"/>
  <c r="F83" i="1"/>
  <c r="F86" i="1"/>
  <c r="H165" i="1"/>
  <c r="H37" i="6"/>
  <c r="E40" i="4"/>
  <c r="H36" i="2"/>
  <c r="H28" i="2"/>
  <c r="H39" i="6"/>
  <c r="H40" i="1"/>
  <c r="E40" i="5"/>
  <c r="H39" i="2"/>
  <c r="E40" i="2"/>
  <c r="H28" i="6"/>
  <c r="E40" i="6"/>
  <c r="H38" i="6"/>
  <c r="H27" i="6"/>
  <c r="E32" i="2"/>
  <c r="H38" i="2"/>
  <c r="H27" i="2"/>
  <c r="H29" i="6"/>
  <c r="H35" i="6"/>
  <c r="H31" i="6"/>
  <c r="H32" i="1"/>
  <c r="G161" i="6"/>
  <c r="H161" i="6" s="1"/>
  <c r="G158" i="6"/>
  <c r="H158" i="6" s="1"/>
  <c r="G159" i="6"/>
  <c r="H159" i="6" s="1"/>
  <c r="H30" i="2"/>
  <c r="H30" i="6"/>
  <c r="E32" i="6"/>
  <c r="E32" i="5"/>
  <c r="D172" i="6"/>
  <c r="B8" i="5"/>
  <c r="H8" i="12"/>
  <c r="G160" i="6"/>
  <c r="H160" i="6" s="1"/>
  <c r="H31" i="2"/>
  <c r="E32" i="4"/>
  <c r="G165" i="5" l="1"/>
  <c r="G164" i="5"/>
  <c r="G163" i="5"/>
  <c r="G152" i="5"/>
  <c r="H152" i="5" s="1"/>
  <c r="G153" i="5"/>
  <c r="H153" i="5" s="1"/>
  <c r="G151" i="5"/>
  <c r="H151" i="5" s="1"/>
  <c r="G167" i="5"/>
  <c r="H167" i="5" s="1"/>
  <c r="G166" i="5"/>
  <c r="H166" i="5" s="1"/>
  <c r="F148" i="6"/>
  <c r="H164" i="6" s="1"/>
  <c r="G7" i="15"/>
  <c r="H148" i="6"/>
  <c r="F107" i="5" a="1"/>
  <c r="F107" i="5" s="1"/>
  <c r="H107" i="5" s="1"/>
  <c r="F106" i="5" a="1"/>
  <c r="F106" i="5" s="1"/>
  <c r="H106" i="5" s="1"/>
  <c r="F111" i="5" a="1"/>
  <c r="F111" i="5" s="1"/>
  <c r="H111" i="5" s="1"/>
  <c r="F110" i="5" a="1"/>
  <c r="F110" i="5" s="1"/>
  <c r="H110" i="5" s="1"/>
  <c r="F103" i="5" a="1"/>
  <c r="F103" i="5" s="1"/>
  <c r="H103" i="5" s="1"/>
  <c r="F102" i="5" a="1"/>
  <c r="F102" i="5" s="1"/>
  <c r="H102" i="5" s="1"/>
  <c r="D126" i="5" a="1"/>
  <c r="D126" i="5" s="1"/>
  <c r="F126" i="5" s="1" a="1"/>
  <c r="F126" i="5" s="1"/>
  <c r="H126" i="5" s="1"/>
  <c r="D122" i="5" a="1"/>
  <c r="D122" i="5" s="1"/>
  <c r="F122" i="5" s="1" a="1"/>
  <c r="F122" i="5" s="1"/>
  <c r="H122" i="5" s="1"/>
  <c r="D125" i="5" a="1"/>
  <c r="D125" i="5" s="1"/>
  <c r="F125" i="5" s="1" a="1"/>
  <c r="F125" i="5" s="1"/>
  <c r="H125" i="5" s="1"/>
  <c r="D123" i="5" a="1"/>
  <c r="D123" i="5" s="1"/>
  <c r="F123" i="5" s="1" a="1"/>
  <c r="F123" i="5" s="1"/>
  <c r="H123" i="5" s="1"/>
  <c r="H48" i="2"/>
  <c r="H48" i="6"/>
  <c r="H64" i="2"/>
  <c r="H80" i="6"/>
  <c r="H72" i="2"/>
  <c r="H56" i="2"/>
  <c r="H72" i="6"/>
  <c r="H56" i="6"/>
  <c r="H64" i="6"/>
  <c r="H81" i="1"/>
  <c r="H163" i="1" s="1"/>
  <c r="D143" i="5" a="1"/>
  <c r="D143" i="5" s="1"/>
  <c r="F143" i="5" s="1" a="1"/>
  <c r="F143" i="5" s="1"/>
  <c r="H143" i="5" s="1"/>
  <c r="D119" i="5" a="1"/>
  <c r="D119" i="5" s="1"/>
  <c r="D131" i="5" a="1"/>
  <c r="D131" i="5" s="1"/>
  <c r="F131" i="5" s="1" a="1"/>
  <c r="F131" i="5" s="1"/>
  <c r="H131" i="5" s="1"/>
  <c r="D137" i="5" a="1"/>
  <c r="D137" i="5" s="1"/>
  <c r="F137" i="5" s="1" a="1"/>
  <c r="F137" i="5" s="1"/>
  <c r="H137" i="5" s="1"/>
  <c r="D129" i="5" a="1"/>
  <c r="D129" i="5" s="1"/>
  <c r="F129" i="5" s="1" a="1"/>
  <c r="F129" i="5" s="1"/>
  <c r="H129" i="5" s="1"/>
  <c r="D134" i="5" a="1"/>
  <c r="D134" i="5" s="1"/>
  <c r="F134" i="5" s="1" a="1"/>
  <c r="F134" i="5" s="1"/>
  <c r="H134" i="5" s="1"/>
  <c r="D128" i="5" a="1"/>
  <c r="D128" i="5" s="1"/>
  <c r="F128" i="5" s="1" a="1"/>
  <c r="F128" i="5" s="1"/>
  <c r="H128" i="5" s="1"/>
  <c r="D140" i="5" a="1"/>
  <c r="D140" i="5" s="1"/>
  <c r="F140" i="5" s="1" a="1"/>
  <c r="F140" i="5" s="1"/>
  <c r="H140" i="5" s="1"/>
  <c r="D144" i="5" a="1"/>
  <c r="D144" i="5" s="1"/>
  <c r="F144" i="5" s="1" a="1"/>
  <c r="F144" i="5" s="1"/>
  <c r="H144" i="5" s="1"/>
  <c r="D135" i="5" a="1"/>
  <c r="D135" i="5" s="1"/>
  <c r="F135" i="5" s="1" a="1"/>
  <c r="F135" i="5" s="1"/>
  <c r="H135" i="5" s="1"/>
  <c r="D141" i="5" a="1"/>
  <c r="D141" i="5" s="1"/>
  <c r="F141" i="5" s="1" a="1"/>
  <c r="F141" i="5" s="1"/>
  <c r="H141" i="5" s="1"/>
  <c r="D147" i="5" a="1"/>
  <c r="D147" i="5" s="1"/>
  <c r="F147" i="5" s="1" a="1"/>
  <c r="F147" i="5" s="1"/>
  <c r="H147" i="5" s="1"/>
  <c r="D120" i="5" a="1"/>
  <c r="D120" i="5" s="1"/>
  <c r="F120" i="5" s="1" a="1"/>
  <c r="F120" i="5" s="1"/>
  <c r="H120" i="5" s="1"/>
  <c r="D132" i="5" a="1"/>
  <c r="D132" i="5" s="1"/>
  <c r="F132" i="5" s="1" a="1"/>
  <c r="F132" i="5" s="1"/>
  <c r="H132" i="5" s="1"/>
  <c r="D138" i="5" a="1"/>
  <c r="D138" i="5" s="1"/>
  <c r="F138" i="5" s="1" a="1"/>
  <c r="F138" i="5" s="1"/>
  <c r="H138" i="5" s="1"/>
  <c r="D146" i="5" a="1"/>
  <c r="D146" i="5" s="1"/>
  <c r="F146" i="5" s="1" a="1"/>
  <c r="F146" i="5" s="1"/>
  <c r="H146" i="5" s="1"/>
  <c r="F162" i="5"/>
  <c r="D45" i="5" a="1"/>
  <c r="D45" i="5" s="1"/>
  <c r="F45" i="5" s="1" a="1"/>
  <c r="F45" i="5" s="1"/>
  <c r="H45" i="5" s="1"/>
  <c r="D79" i="5" a="1"/>
  <c r="D79" i="5" s="1"/>
  <c r="F79" i="5" s="1" a="1"/>
  <c r="F79" i="5" s="1"/>
  <c r="H79" i="5" s="1"/>
  <c r="D51" i="5" a="1"/>
  <c r="D51" i="5" s="1"/>
  <c r="F51" i="5" s="1" a="1"/>
  <c r="F51" i="5" s="1"/>
  <c r="H51" i="5" s="1"/>
  <c r="D75" i="5" a="1"/>
  <c r="D75" i="5" s="1"/>
  <c r="F75" i="5" s="1" a="1"/>
  <c r="F75" i="5" s="1"/>
  <c r="H75" i="5" s="1"/>
  <c r="D69" i="5" a="1"/>
  <c r="D69" i="5" s="1"/>
  <c r="F69" i="5" s="1" a="1"/>
  <c r="F69" i="5" s="1"/>
  <c r="H69" i="5" s="1"/>
  <c r="D63" i="5" a="1"/>
  <c r="D63" i="5" s="1"/>
  <c r="F63" i="5" s="1" a="1"/>
  <c r="F63" i="5" s="1"/>
  <c r="H63" i="5" s="1"/>
  <c r="D60" i="5" a="1"/>
  <c r="D60" i="5" s="1"/>
  <c r="F60" i="5" s="1" a="1"/>
  <c r="F60" i="5" s="1"/>
  <c r="H60" i="5" s="1"/>
  <c r="D54" i="5" a="1"/>
  <c r="D54" i="5" s="1"/>
  <c r="F54" i="5" s="1" a="1"/>
  <c r="F54" i="5" s="1"/>
  <c r="H54" i="5" s="1"/>
  <c r="D55" i="5" a="1"/>
  <c r="D55" i="5" s="1"/>
  <c r="F55" i="5" s="1" a="1"/>
  <c r="F55" i="5" s="1"/>
  <c r="H55" i="5" s="1"/>
  <c r="D78" i="5" a="1"/>
  <c r="D78" i="5" s="1"/>
  <c r="F78" i="5" s="1" a="1"/>
  <c r="F78" i="5" s="1"/>
  <c r="H78" i="5" s="1"/>
  <c r="D44" i="5" a="1"/>
  <c r="D44" i="5" s="1"/>
  <c r="F44" i="5" s="1" a="1"/>
  <c r="F44" i="5" s="1"/>
  <c r="H44" i="5" s="1"/>
  <c r="D59" i="5" a="1"/>
  <c r="D59" i="5" s="1"/>
  <c r="F59" i="5" s="1" a="1"/>
  <c r="F59" i="5" s="1"/>
  <c r="H59" i="5" s="1"/>
  <c r="D47" i="5" a="1"/>
  <c r="D47" i="5" s="1"/>
  <c r="F47" i="5" s="1" a="1"/>
  <c r="F47" i="5" s="1"/>
  <c r="H47" i="5" s="1"/>
  <c r="D71" i="5" a="1"/>
  <c r="D71" i="5" s="1"/>
  <c r="F71" i="5" s="1" a="1"/>
  <c r="F71" i="5" s="1"/>
  <c r="H71" i="5" s="1"/>
  <c r="D62" i="5" a="1"/>
  <c r="D62" i="5" s="1"/>
  <c r="F62" i="5" s="1" a="1"/>
  <c r="F62" i="5" s="1"/>
  <c r="H62" i="5" s="1"/>
  <c r="D53" i="5" a="1"/>
  <c r="D53" i="5" s="1"/>
  <c r="F53" i="5" s="1" a="1"/>
  <c r="F53" i="5" s="1"/>
  <c r="H53" i="5" s="1"/>
  <c r="D77" i="5" a="1"/>
  <c r="D77" i="5" s="1"/>
  <c r="F77" i="5" s="1" a="1"/>
  <c r="F77" i="5" s="1"/>
  <c r="H77" i="5" s="1"/>
  <c r="D68" i="5" a="1"/>
  <c r="D68" i="5" s="1"/>
  <c r="F68" i="5" s="1" a="1"/>
  <c r="F68" i="5" s="1"/>
  <c r="H68" i="5" s="1"/>
  <c r="D43" i="5" a="1"/>
  <c r="D43" i="5" s="1"/>
  <c r="F43" i="5" s="1" a="1"/>
  <c r="F43" i="5" s="1"/>
  <c r="H43" i="5" s="1"/>
  <c r="D70" i="5" a="1"/>
  <c r="D70" i="5" s="1"/>
  <c r="F70" i="5" s="1" a="1"/>
  <c r="F70" i="5" s="1"/>
  <c r="H70" i="5" s="1"/>
  <c r="D52" i="5" a="1"/>
  <c r="D52" i="5" s="1"/>
  <c r="F52" i="5" s="1" a="1"/>
  <c r="F52" i="5" s="1"/>
  <c r="H52" i="5" s="1"/>
  <c r="D46" i="5" a="1"/>
  <c r="D46" i="5" s="1"/>
  <c r="F46" i="5" s="1" a="1"/>
  <c r="F46" i="5" s="1"/>
  <c r="H46" i="5" s="1"/>
  <c r="D67" i="5" a="1"/>
  <c r="D67" i="5" s="1"/>
  <c r="F67" i="5" s="1" a="1"/>
  <c r="F67" i="5" s="1"/>
  <c r="H67" i="5" s="1"/>
  <c r="D61" i="5" a="1"/>
  <c r="D61" i="5" s="1"/>
  <c r="F61" i="5" s="1" a="1"/>
  <c r="F61" i="5" s="1"/>
  <c r="H61" i="5" s="1"/>
  <c r="D76" i="5" a="1"/>
  <c r="D76" i="5" s="1"/>
  <c r="F76" i="5" s="1" a="1"/>
  <c r="F76" i="5" s="1"/>
  <c r="H76" i="5" s="1"/>
  <c r="E226" i="5"/>
  <c r="D226" i="5"/>
  <c r="E225" i="5"/>
  <c r="D225" i="5"/>
  <c r="E224" i="5"/>
  <c r="D224" i="5"/>
  <c r="E227" i="5"/>
  <c r="D227" i="5"/>
  <c r="F159" i="5"/>
  <c r="D159" i="5"/>
  <c r="F158" i="5"/>
  <c r="D161" i="5"/>
  <c r="F161" i="5"/>
  <c r="D158" i="5"/>
  <c r="F160" i="5"/>
  <c r="D160" i="5"/>
  <c r="D87" i="5" a="1"/>
  <c r="D87" i="5" s="1"/>
  <c r="F87" i="5" s="1" a="1"/>
  <c r="F87" i="5" s="1"/>
  <c r="H87" i="5" s="1"/>
  <c r="D85" i="5" a="1"/>
  <c r="D85" i="5" s="1"/>
  <c r="F85" i="5" s="1" a="1"/>
  <c r="F85" i="5" s="1"/>
  <c r="H85" i="5" s="1"/>
  <c r="D88" i="5" a="1"/>
  <c r="D88" i="5" s="1"/>
  <c r="F88" i="5" s="1" a="1"/>
  <c r="F88" i="5" s="1"/>
  <c r="H88" i="5" s="1"/>
  <c r="D84" i="5" a="1"/>
  <c r="D84" i="5" s="1"/>
  <c r="F84" i="5" s="1" a="1"/>
  <c r="F84" i="5" s="1"/>
  <c r="H84" i="5" s="1"/>
  <c r="H40" i="2"/>
  <c r="H40" i="6"/>
  <c r="H32" i="6"/>
  <c r="H32" i="2"/>
  <c r="D31" i="5" a="1"/>
  <c r="D31" i="5" s="1"/>
  <c r="F31" i="5" s="1" a="1"/>
  <c r="F31" i="5" s="1"/>
  <c r="H31" i="5" s="1"/>
  <c r="D30" i="5" a="1"/>
  <c r="D30" i="5" s="1"/>
  <c r="F30" i="5" s="1" a="1"/>
  <c r="F30" i="5" s="1"/>
  <c r="H30" i="5" s="1"/>
  <c r="D39" i="5" a="1"/>
  <c r="D39" i="5" s="1"/>
  <c r="F39" i="5" s="1" a="1"/>
  <c r="F39" i="5" s="1"/>
  <c r="H39" i="5" s="1"/>
  <c r="D28" i="5" a="1"/>
  <c r="D28" i="5" s="1"/>
  <c r="F28" i="5" s="1" a="1"/>
  <c r="F28" i="5" s="1"/>
  <c r="H28" i="5" s="1"/>
  <c r="D8" i="5"/>
  <c r="G8" i="15" s="1"/>
  <c r="D29" i="5" a="1"/>
  <c r="D29" i="5" s="1"/>
  <c r="F29" i="5" s="1" a="1"/>
  <c r="F29" i="5" s="1"/>
  <c r="H29" i="5" s="1"/>
  <c r="D38" i="5" a="1"/>
  <c r="D38" i="5" s="1"/>
  <c r="F38" i="5" s="1" a="1"/>
  <c r="F38" i="5" s="1"/>
  <c r="H38" i="5" s="1"/>
  <c r="D37" i="5" a="1"/>
  <c r="D37" i="5" s="1"/>
  <c r="F37" i="5" s="1" a="1"/>
  <c r="F37" i="5" s="1"/>
  <c r="H37" i="5" s="1"/>
  <c r="D35" i="5" a="1"/>
  <c r="D35" i="5" s="1"/>
  <c r="F35" i="5" s="1" a="1"/>
  <c r="F35" i="5" s="1"/>
  <c r="H35" i="5" s="1"/>
  <c r="I7" i="12"/>
  <c r="D36" i="5" a="1"/>
  <c r="D36" i="5" s="1"/>
  <c r="F36" i="5" s="1" a="1"/>
  <c r="F36" i="5" s="1"/>
  <c r="H36" i="5" s="1"/>
  <c r="D27" i="5" a="1"/>
  <c r="D27" i="5" s="1"/>
  <c r="F27" i="5" s="1" a="1"/>
  <c r="F27" i="5" s="1"/>
  <c r="H27" i="5" s="1"/>
  <c r="B172" i="5"/>
  <c r="H81" i="2" l="1"/>
  <c r="H163" i="2" s="1"/>
  <c r="H81" i="6"/>
  <c r="F119" i="5" a="1"/>
  <c r="F119" i="5" s="1"/>
  <c r="H119" i="5" s="1"/>
  <c r="F115" i="5" a="1"/>
  <c r="F115" i="5" s="1"/>
  <c r="H115" i="5" s="1"/>
  <c r="F112" i="5" a="1"/>
  <c r="F112" i="5" s="1"/>
  <c r="H112" i="5" s="1"/>
  <c r="F114" i="5" a="1"/>
  <c r="F114" i="5" s="1"/>
  <c r="H114" i="5" s="1"/>
  <c r="F108" i="5" a="1"/>
  <c r="F108" i="5" s="1"/>
  <c r="H108" i="5" s="1"/>
  <c r="F116" i="5" a="1"/>
  <c r="F116" i="5" s="1"/>
  <c r="H116" i="5" s="1"/>
  <c r="F104" i="5" a="1"/>
  <c r="F104" i="5" s="1"/>
  <c r="H104" i="5" s="1"/>
  <c r="C14" i="8"/>
  <c r="H72" i="5"/>
  <c r="H165" i="5"/>
  <c r="H48" i="5"/>
  <c r="H80" i="5"/>
  <c r="H56" i="5"/>
  <c r="H64" i="5"/>
  <c r="F86" i="5"/>
  <c r="F83" i="5"/>
  <c r="H149" i="1"/>
  <c r="H32" i="5"/>
  <c r="H40" i="5"/>
  <c r="G158" i="5"/>
  <c r="H158" i="5" s="1"/>
  <c r="G161" i="5"/>
  <c r="H161" i="5" s="1"/>
  <c r="G160" i="5"/>
  <c r="H160" i="5" s="1"/>
  <c r="D172" i="5"/>
  <c r="I8" i="12"/>
  <c r="B8" i="4"/>
  <c r="G159" i="5"/>
  <c r="H159" i="5" s="1"/>
  <c r="G152" i="4" l="1"/>
  <c r="H152" i="4" s="1"/>
  <c r="G165" i="4"/>
  <c r="G167" i="4"/>
  <c r="G166" i="4"/>
  <c r="G153" i="4"/>
  <c r="G164" i="4"/>
  <c r="G151" i="4"/>
  <c r="H151" i="4" s="1"/>
  <c r="G163" i="4"/>
  <c r="F148" i="5"/>
  <c r="H164" i="5" s="1"/>
  <c r="H81" i="5"/>
  <c r="H7" i="15"/>
  <c r="H166" i="4"/>
  <c r="H148" i="5"/>
  <c r="F111" i="4" a="1"/>
  <c r="F111" i="4" s="1"/>
  <c r="H111" i="4" s="1"/>
  <c r="F110" i="4" a="1"/>
  <c r="F110" i="4" s="1"/>
  <c r="H110" i="4" s="1"/>
  <c r="F106" i="4" a="1"/>
  <c r="F106" i="4" s="1"/>
  <c r="H106" i="4" s="1"/>
  <c r="F107" i="4" a="1"/>
  <c r="F107" i="4" s="1"/>
  <c r="H107" i="4" s="1"/>
  <c r="F103" i="4" a="1"/>
  <c r="F103" i="4" s="1"/>
  <c r="H103" i="4" s="1"/>
  <c r="F102" i="4" a="1"/>
  <c r="F102" i="4" s="1"/>
  <c r="H102" i="4" s="1"/>
  <c r="H167" i="4"/>
  <c r="H153" i="4"/>
  <c r="G162" i="1"/>
  <c r="H162" i="1" s="1"/>
  <c r="H168" i="1" s="1"/>
  <c r="G208" i="1"/>
  <c r="H208" i="1" s="1"/>
  <c r="D125" i="4" a="1"/>
  <c r="D125" i="4" s="1"/>
  <c r="F125" i="4" s="1" a="1"/>
  <c r="F125" i="4" s="1"/>
  <c r="H125" i="4" s="1"/>
  <c r="D123" i="4" a="1"/>
  <c r="D123" i="4" s="1"/>
  <c r="F123" i="4" s="1" a="1"/>
  <c r="F123" i="4" s="1"/>
  <c r="H123" i="4" s="1"/>
  <c r="D122" i="4" a="1"/>
  <c r="D122" i="4" s="1"/>
  <c r="F122" i="4" s="1" a="1"/>
  <c r="F122" i="4" s="1"/>
  <c r="H122" i="4" s="1"/>
  <c r="D126" i="4" a="1"/>
  <c r="D126" i="4" s="1"/>
  <c r="F126" i="4" s="1" a="1"/>
  <c r="F126" i="4" s="1"/>
  <c r="H126" i="4" s="1"/>
  <c r="D119" i="4" a="1"/>
  <c r="D119" i="4" s="1"/>
  <c r="D137" i="4" a="1"/>
  <c r="D137" i="4" s="1"/>
  <c r="F137" i="4" s="1" a="1"/>
  <c r="F137" i="4" s="1"/>
  <c r="H137" i="4" s="1"/>
  <c r="D131" i="4" a="1"/>
  <c r="D131" i="4" s="1"/>
  <c r="F131" i="4" s="1" a="1"/>
  <c r="F131" i="4" s="1"/>
  <c r="H131" i="4" s="1"/>
  <c r="D147" i="4" a="1"/>
  <c r="D147" i="4" s="1"/>
  <c r="F147" i="4" s="1" a="1"/>
  <c r="F147" i="4" s="1"/>
  <c r="H147" i="4" s="1"/>
  <c r="D132" i="4" a="1"/>
  <c r="D132" i="4" s="1"/>
  <c r="F132" i="4" s="1" a="1"/>
  <c r="F132" i="4" s="1"/>
  <c r="H132" i="4" s="1"/>
  <c r="D143" i="4" a="1"/>
  <c r="D143" i="4" s="1"/>
  <c r="F143" i="4" s="1" a="1"/>
  <c r="F143" i="4" s="1"/>
  <c r="H143" i="4" s="1"/>
  <c r="D144" i="4" a="1"/>
  <c r="D144" i="4" s="1"/>
  <c r="F144" i="4" s="1" a="1"/>
  <c r="F144" i="4" s="1"/>
  <c r="H144" i="4" s="1"/>
  <c r="D120" i="4" a="1"/>
  <c r="D120" i="4" s="1"/>
  <c r="F120" i="4" s="1" a="1"/>
  <c r="F120" i="4" s="1"/>
  <c r="H120" i="4" s="1"/>
  <c r="D138" i="4" a="1"/>
  <c r="D138" i="4" s="1"/>
  <c r="F138" i="4" s="1" a="1"/>
  <c r="F138" i="4" s="1"/>
  <c r="H138" i="4" s="1"/>
  <c r="D128" i="4" a="1"/>
  <c r="D128" i="4" s="1"/>
  <c r="F128" i="4" s="1" a="1"/>
  <c r="F128" i="4" s="1"/>
  <c r="H128" i="4" s="1"/>
  <c r="D134" i="4" a="1"/>
  <c r="D134" i="4" s="1"/>
  <c r="F134" i="4" s="1" a="1"/>
  <c r="F134" i="4" s="1"/>
  <c r="H134" i="4" s="1"/>
  <c r="D140" i="4" a="1"/>
  <c r="D140" i="4" s="1"/>
  <c r="F140" i="4" s="1" a="1"/>
  <c r="F140" i="4" s="1"/>
  <c r="H140" i="4" s="1"/>
  <c r="D129" i="4" a="1"/>
  <c r="D129" i="4" s="1"/>
  <c r="F129" i="4" s="1" a="1"/>
  <c r="F129" i="4" s="1"/>
  <c r="H129" i="4" s="1"/>
  <c r="D135" i="4" a="1"/>
  <c r="D135" i="4" s="1"/>
  <c r="F135" i="4" s="1" a="1"/>
  <c r="F135" i="4" s="1"/>
  <c r="H135" i="4" s="1"/>
  <c r="D141" i="4" a="1"/>
  <c r="D141" i="4" s="1"/>
  <c r="F141" i="4" s="1" a="1"/>
  <c r="F141" i="4" s="1"/>
  <c r="H141" i="4" s="1"/>
  <c r="D146" i="4" a="1"/>
  <c r="D146" i="4" s="1"/>
  <c r="F146" i="4" s="1" a="1"/>
  <c r="F146" i="4" s="1"/>
  <c r="H146" i="4" s="1"/>
  <c r="D76" i="4" a="1"/>
  <c r="D76" i="4" s="1"/>
  <c r="F76" i="4" s="1" a="1"/>
  <c r="F76" i="4" s="1"/>
  <c r="H76" i="4" s="1"/>
  <c r="D79" i="4" a="1"/>
  <c r="D79" i="4" s="1"/>
  <c r="F79" i="4" s="1" a="1"/>
  <c r="F79" i="4" s="1"/>
  <c r="H79" i="4" s="1"/>
  <c r="D75" i="4" a="1"/>
  <c r="D75" i="4" s="1"/>
  <c r="F75" i="4" s="1" a="1"/>
  <c r="F75" i="4" s="1"/>
  <c r="H75" i="4" s="1"/>
  <c r="D78" i="4" a="1"/>
  <c r="D78" i="4" s="1"/>
  <c r="F78" i="4" s="1" a="1"/>
  <c r="F78" i="4" s="1"/>
  <c r="H78" i="4" s="1"/>
  <c r="D77" i="4" a="1"/>
  <c r="D77" i="4" s="1"/>
  <c r="F77" i="4" s="1" a="1"/>
  <c r="F77" i="4" s="1"/>
  <c r="H77" i="4" s="1"/>
  <c r="F162" i="4"/>
  <c r="D54" i="4" a="1"/>
  <c r="D54" i="4" s="1"/>
  <c r="F54" i="4" s="1" a="1"/>
  <c r="F54" i="4" s="1"/>
  <c r="H54" i="4" s="1"/>
  <c r="D60" i="4" a="1"/>
  <c r="D60" i="4" s="1"/>
  <c r="F60" i="4" s="1" a="1"/>
  <c r="F60" i="4" s="1"/>
  <c r="H60" i="4" s="1"/>
  <c r="D63" i="4" a="1"/>
  <c r="D63" i="4" s="1"/>
  <c r="F63" i="4" s="1" a="1"/>
  <c r="F63" i="4" s="1"/>
  <c r="H63" i="4" s="1"/>
  <c r="D44" i="4" a="1"/>
  <c r="D44" i="4" s="1"/>
  <c r="F44" i="4" s="1" a="1"/>
  <c r="F44" i="4" s="1"/>
  <c r="H44" i="4" s="1"/>
  <c r="D71" i="4" a="1"/>
  <c r="D71" i="4" s="1"/>
  <c r="F71" i="4" s="1" a="1"/>
  <c r="F71" i="4" s="1"/>
  <c r="H71" i="4" s="1"/>
  <c r="D68" i="4" a="1"/>
  <c r="D68" i="4" s="1"/>
  <c r="F68" i="4" s="1" a="1"/>
  <c r="F68" i="4" s="1"/>
  <c r="H68" i="4" s="1"/>
  <c r="D62" i="4" a="1"/>
  <c r="D62" i="4" s="1"/>
  <c r="F62" i="4" s="1" a="1"/>
  <c r="F62" i="4" s="1"/>
  <c r="H62" i="4" s="1"/>
  <c r="D51" i="4" a="1"/>
  <c r="D51" i="4" s="1"/>
  <c r="F51" i="4" s="1" a="1"/>
  <c r="F51" i="4" s="1"/>
  <c r="H51" i="4" s="1"/>
  <c r="D59" i="4" a="1"/>
  <c r="D59" i="4" s="1"/>
  <c r="F59" i="4" s="1" a="1"/>
  <c r="F59" i="4" s="1"/>
  <c r="H59" i="4" s="1"/>
  <c r="D47" i="4" a="1"/>
  <c r="D47" i="4" s="1"/>
  <c r="F47" i="4" s="1" a="1"/>
  <c r="F47" i="4" s="1"/>
  <c r="H47" i="4" s="1"/>
  <c r="D53" i="4" a="1"/>
  <c r="D53" i="4" s="1"/>
  <c r="F53" i="4" s="1" a="1"/>
  <c r="F53" i="4" s="1"/>
  <c r="H53" i="4" s="1"/>
  <c r="D43" i="4" a="1"/>
  <c r="D43" i="4" s="1"/>
  <c r="F43" i="4" s="1" a="1"/>
  <c r="F43" i="4" s="1"/>
  <c r="H43" i="4" s="1"/>
  <c r="D70" i="4" a="1"/>
  <c r="D70" i="4" s="1"/>
  <c r="F70" i="4" s="1" a="1"/>
  <c r="F70" i="4" s="1"/>
  <c r="H70" i="4" s="1"/>
  <c r="D46" i="4" a="1"/>
  <c r="D46" i="4" s="1"/>
  <c r="F46" i="4" s="1" a="1"/>
  <c r="F46" i="4" s="1"/>
  <c r="H46" i="4" s="1"/>
  <c r="D45" i="4" a="1"/>
  <c r="D45" i="4" s="1"/>
  <c r="F45" i="4" s="1" a="1"/>
  <c r="F45" i="4" s="1"/>
  <c r="H45" i="4" s="1"/>
  <c r="D67" i="4" a="1"/>
  <c r="D67" i="4" s="1"/>
  <c r="F67" i="4" s="1" a="1"/>
  <c r="F67" i="4" s="1"/>
  <c r="H67" i="4" s="1"/>
  <c r="D52" i="4" a="1"/>
  <c r="D52" i="4" s="1"/>
  <c r="F52" i="4" s="1" a="1"/>
  <c r="F52" i="4" s="1"/>
  <c r="H52" i="4" s="1"/>
  <c r="D61" i="4" a="1"/>
  <c r="D61" i="4" s="1"/>
  <c r="F61" i="4" s="1" a="1"/>
  <c r="F61" i="4" s="1"/>
  <c r="H61" i="4" s="1"/>
  <c r="D55" i="4" a="1"/>
  <c r="D55" i="4" s="1"/>
  <c r="F55" i="4" s="1" a="1"/>
  <c r="F55" i="4" s="1"/>
  <c r="H55" i="4" s="1"/>
  <c r="D69" i="4" a="1"/>
  <c r="D69" i="4" s="1"/>
  <c r="F69" i="4" s="1" a="1"/>
  <c r="F69" i="4" s="1"/>
  <c r="H69" i="4" s="1"/>
  <c r="C16" i="8"/>
  <c r="E227" i="4"/>
  <c r="D227" i="4"/>
  <c r="E226" i="4"/>
  <c r="D226" i="4"/>
  <c r="E225" i="4"/>
  <c r="D225" i="4"/>
  <c r="E224" i="4"/>
  <c r="D224" i="4"/>
  <c r="F161" i="4"/>
  <c r="D161" i="4"/>
  <c r="F160" i="4"/>
  <c r="F159" i="4"/>
  <c r="D158" i="4"/>
  <c r="D159" i="4"/>
  <c r="D160" i="4"/>
  <c r="F158" i="4"/>
  <c r="D85" i="4" a="1"/>
  <c r="D85" i="4" s="1"/>
  <c r="F85" i="4" s="1" a="1"/>
  <c r="F85" i="4" s="1"/>
  <c r="H85" i="4" s="1"/>
  <c r="D88" i="4" a="1"/>
  <c r="D88" i="4" s="1"/>
  <c r="F88" i="4" s="1" a="1"/>
  <c r="F88" i="4" s="1"/>
  <c r="H88" i="4" s="1"/>
  <c r="D84" i="4" a="1"/>
  <c r="D84" i="4" s="1"/>
  <c r="F84" i="4" s="1" a="1"/>
  <c r="F84" i="4" s="1"/>
  <c r="H84" i="4" s="1"/>
  <c r="D87" i="4" a="1"/>
  <c r="D87" i="4" s="1"/>
  <c r="F87" i="4" s="1" a="1"/>
  <c r="F87" i="4" s="1"/>
  <c r="H87" i="4" s="1"/>
  <c r="D39" i="4" a="1"/>
  <c r="D39" i="4" s="1"/>
  <c r="F39" i="4" s="1" a="1"/>
  <c r="F39" i="4" s="1"/>
  <c r="H39" i="4" s="1"/>
  <c r="D36" i="4" a="1"/>
  <c r="D36" i="4" s="1"/>
  <c r="F36" i="4" s="1" a="1"/>
  <c r="F36" i="4" s="1"/>
  <c r="H36" i="4" s="1"/>
  <c r="D30" i="4" a="1"/>
  <c r="D30" i="4" s="1"/>
  <c r="F30" i="4" s="1" a="1"/>
  <c r="F30" i="4" s="1"/>
  <c r="H30" i="4" s="1"/>
  <c r="D31" i="4" a="1"/>
  <c r="D31" i="4" s="1"/>
  <c r="F31" i="4" s="1" a="1"/>
  <c r="F31" i="4" s="1"/>
  <c r="H31" i="4" s="1"/>
  <c r="J7" i="12"/>
  <c r="D28" i="4" a="1"/>
  <c r="D28" i="4" s="1"/>
  <c r="F28" i="4" s="1" a="1"/>
  <c r="F28" i="4" s="1"/>
  <c r="H28" i="4" s="1"/>
  <c r="D37" i="4" a="1"/>
  <c r="D37" i="4" s="1"/>
  <c r="F37" i="4" s="1" a="1"/>
  <c r="F37" i="4" s="1"/>
  <c r="H37" i="4" s="1"/>
  <c r="B172" i="4"/>
  <c r="D27" i="4" a="1"/>
  <c r="D27" i="4" s="1"/>
  <c r="F27" i="4" s="1" a="1"/>
  <c r="F27" i="4" s="1"/>
  <c r="H27" i="4" s="1"/>
  <c r="D38" i="4" a="1"/>
  <c r="D38" i="4" s="1"/>
  <c r="F38" i="4" s="1" a="1"/>
  <c r="F38" i="4" s="1"/>
  <c r="H38" i="4" s="1"/>
  <c r="D8" i="4"/>
  <c r="H8" i="15" s="1"/>
  <c r="D29" i="4" a="1"/>
  <c r="D29" i="4" s="1"/>
  <c r="F29" i="4" s="1" a="1"/>
  <c r="F29" i="4" s="1"/>
  <c r="H29" i="4" s="1"/>
  <c r="D35" i="4" a="1"/>
  <c r="D35" i="4" s="1"/>
  <c r="F35" i="4" s="1" a="1"/>
  <c r="F35" i="4" s="1"/>
  <c r="H35" i="4" s="1"/>
  <c r="C17" i="8" l="1"/>
  <c r="H169" i="1"/>
  <c r="D28" i="15" s="1"/>
  <c r="F119" i="4" a="1"/>
  <c r="F119" i="4" s="1"/>
  <c r="H119" i="4" s="1"/>
  <c r="F116" i="4" a="1"/>
  <c r="F116" i="4" s="1"/>
  <c r="H116" i="4" s="1"/>
  <c r="F112" i="4" a="1"/>
  <c r="F112" i="4" s="1"/>
  <c r="H112" i="4" s="1"/>
  <c r="F104" i="4" a="1"/>
  <c r="F104" i="4" s="1"/>
  <c r="H104" i="4" s="1"/>
  <c r="F108" i="4" a="1"/>
  <c r="F108" i="4" s="1"/>
  <c r="H108" i="4" s="1"/>
  <c r="F114" i="4" a="1"/>
  <c r="F114" i="4" s="1"/>
  <c r="H114" i="4" s="1"/>
  <c r="F115" i="4" a="1"/>
  <c r="F115" i="4" s="1"/>
  <c r="H115" i="4" s="1"/>
  <c r="H165" i="4"/>
  <c r="H80" i="4"/>
  <c r="H72" i="4"/>
  <c r="H64" i="4"/>
  <c r="H56" i="4"/>
  <c r="H48" i="4"/>
  <c r="F86" i="4"/>
  <c r="F83" i="4"/>
  <c r="C27" i="8"/>
  <c r="F21" i="12" s="1"/>
  <c r="H214" i="1"/>
  <c r="H32" i="4"/>
  <c r="H40" i="4"/>
  <c r="G158" i="4"/>
  <c r="H158" i="4" s="1"/>
  <c r="G159" i="4"/>
  <c r="H159" i="4" s="1"/>
  <c r="G161" i="4"/>
  <c r="H161" i="4" s="1"/>
  <c r="D172" i="4"/>
  <c r="J8" i="12"/>
  <c r="G160" i="4"/>
  <c r="H160" i="4" s="1"/>
  <c r="F10" i="12" l="1"/>
  <c r="F148" i="4"/>
  <c r="H164" i="4" s="1"/>
  <c r="H148" i="4"/>
  <c r="H81" i="4"/>
  <c r="C18" i="8"/>
  <c r="D19" i="15" s="1"/>
  <c r="C32" i="8"/>
  <c r="F22" i="12" s="1"/>
  <c r="H222" i="1"/>
  <c r="D10" i="15" l="1"/>
  <c r="D22" i="15"/>
  <c r="D31" i="15" s="1"/>
  <c r="F12" i="12"/>
  <c r="F24" i="12" s="1"/>
  <c r="F223" i="1"/>
  <c r="F226" i="1"/>
  <c r="F227" i="1"/>
  <c r="C40" i="8"/>
  <c r="C226" i="1"/>
  <c r="C227" i="1"/>
  <c r="D13" i="15" l="1"/>
  <c r="G226" i="1"/>
  <c r="C224" i="1"/>
  <c r="C41" i="8"/>
  <c r="F27" i="12" s="1"/>
  <c r="F225" i="1"/>
  <c r="C225" i="1"/>
  <c r="F224" i="1"/>
  <c r="G224" i="1" l="1"/>
  <c r="H228" i="1" s="1"/>
  <c r="D14" i="8"/>
  <c r="C42" i="8" l="1"/>
  <c r="F28" i="12" s="1"/>
  <c r="H230" i="1"/>
  <c r="C43" i="8" l="1"/>
  <c r="F29" i="12" s="1"/>
  <c r="D8" i="11"/>
  <c r="D9" i="11" s="1"/>
  <c r="D10" i="11" s="1"/>
  <c r="D11" i="11" s="1"/>
  <c r="D12" i="11" s="1"/>
  <c r="D13" i="8" l="1"/>
  <c r="D15" i="8"/>
  <c r="D19" i="8"/>
  <c r="D23" i="8"/>
  <c r="D28" i="8"/>
  <c r="G19" i="12" s="1"/>
  <c r="D29" i="8"/>
  <c r="E24" i="15" s="1"/>
  <c r="E33" i="15" s="1"/>
  <c r="E13" i="8"/>
  <c r="E14" i="8"/>
  <c r="E20" i="8"/>
  <c r="E23" i="8"/>
  <c r="E28" i="8"/>
  <c r="H19" i="12" s="1"/>
  <c r="E29" i="8"/>
  <c r="F24" i="15" s="1"/>
  <c r="F33" i="15" s="1"/>
  <c r="H186" i="2" l="1"/>
  <c r="E26" i="8"/>
  <c r="E25" i="8"/>
  <c r="H15" i="12" s="1"/>
  <c r="D26" i="8"/>
  <c r="H186" i="6"/>
  <c r="G18" i="12"/>
  <c r="H149" i="6"/>
  <c r="H163" i="6"/>
  <c r="D25" i="8"/>
  <c r="G15" i="12" s="1"/>
  <c r="H18" i="12"/>
  <c r="D20" i="8"/>
  <c r="E15" i="8"/>
  <c r="E22" i="8"/>
  <c r="E30" i="8"/>
  <c r="H14" i="12" s="1"/>
  <c r="D22" i="8"/>
  <c r="D30" i="8"/>
  <c r="G14" i="12" s="1"/>
  <c r="E24" i="8"/>
  <c r="H20" i="12" s="1"/>
  <c r="D24" i="8"/>
  <c r="G20" i="12" s="1"/>
  <c r="E19" i="8"/>
  <c r="H149" i="2"/>
  <c r="G208" i="2" s="1"/>
  <c r="H208" i="2" s="1"/>
  <c r="H214" i="2" s="1"/>
  <c r="G13" i="12" l="1"/>
  <c r="E20" i="15"/>
  <c r="H13" i="12"/>
  <c r="F20" i="15"/>
  <c r="F11" i="15" s="1"/>
  <c r="E21" i="8"/>
  <c r="D21" i="8"/>
  <c r="E16" i="8"/>
  <c r="G208" i="6"/>
  <c r="G162" i="6"/>
  <c r="D16" i="8"/>
  <c r="G162" i="2"/>
  <c r="H162" i="2" s="1"/>
  <c r="H168" i="2" s="1"/>
  <c r="G11" i="12" l="1"/>
  <c r="E21" i="15"/>
  <c r="H11" i="12"/>
  <c r="F21" i="15"/>
  <c r="F30" i="15" s="1"/>
  <c r="F12" i="15" s="1"/>
  <c r="E11" i="15"/>
  <c r="H208" i="6"/>
  <c r="E27" i="8" s="1"/>
  <c r="H21" i="12" s="1"/>
  <c r="H162" i="6"/>
  <c r="H168" i="6" s="1"/>
  <c r="H169" i="6" s="1"/>
  <c r="F28" i="15" s="1"/>
  <c r="D27" i="8"/>
  <c r="G21" i="12" s="1"/>
  <c r="D17" i="8"/>
  <c r="H169" i="2"/>
  <c r="E28" i="15" s="1"/>
  <c r="E30" i="15" l="1"/>
  <c r="G10" i="12"/>
  <c r="H214" i="6"/>
  <c r="E32" i="8" s="1"/>
  <c r="H22" i="12" s="1"/>
  <c r="E17" i="8"/>
  <c r="H10" i="12"/>
  <c r="E18" i="8"/>
  <c r="F19" i="15" s="1"/>
  <c r="D32" i="8"/>
  <c r="G22" i="12" s="1"/>
  <c r="H222" i="2"/>
  <c r="D18" i="8"/>
  <c r="E19" i="15" s="1"/>
  <c r="E12" i="15" l="1"/>
  <c r="F10" i="15"/>
  <c r="E10" i="15"/>
  <c r="E22" i="15"/>
  <c r="E31" i="15" s="1"/>
  <c r="G12" i="12"/>
  <c r="G24" i="12" s="1"/>
  <c r="F22" i="15"/>
  <c r="F31" i="15" s="1"/>
  <c r="H12" i="12"/>
  <c r="H24" i="12" s="1"/>
  <c r="H222" i="6"/>
  <c r="C226" i="6" s="1"/>
  <c r="F223" i="2"/>
  <c r="D40" i="8"/>
  <c r="C226" i="2"/>
  <c r="F226" i="2"/>
  <c r="C227" i="2"/>
  <c r="F227" i="2"/>
  <c r="F13" i="15" l="1"/>
  <c r="E13" i="15"/>
  <c r="E40" i="8"/>
  <c r="F226" i="6"/>
  <c r="F227" i="6"/>
  <c r="C227" i="6"/>
  <c r="F223" i="6"/>
  <c r="C224" i="2"/>
  <c r="F224" i="2"/>
  <c r="C225" i="2"/>
  <c r="F225" i="2"/>
  <c r="D41" i="8"/>
  <c r="G27" i="12" s="1"/>
  <c r="G226" i="2"/>
  <c r="G226" i="6" l="1"/>
  <c r="F224" i="6"/>
  <c r="F225" i="6"/>
  <c r="C224" i="6"/>
  <c r="C225" i="6"/>
  <c r="E41" i="8"/>
  <c r="H27" i="12" s="1"/>
  <c r="G224" i="2"/>
  <c r="H228" i="2" s="1"/>
  <c r="G224" i="6" l="1"/>
  <c r="D42" i="8"/>
  <c r="G28" i="12" s="1"/>
  <c r="H230" i="2"/>
  <c r="H228" i="6" l="1"/>
  <c r="D16" i="11"/>
  <c r="D17" i="11" s="1"/>
  <c r="D18" i="11" s="1"/>
  <c r="D19" i="11" s="1"/>
  <c r="D20" i="11" s="1"/>
  <c r="D43" i="8"/>
  <c r="G29" i="12" s="1"/>
  <c r="F13" i="8"/>
  <c r="F14" i="8"/>
  <c r="F20" i="8"/>
  <c r="I13" i="12"/>
  <c r="F25" i="8"/>
  <c r="I15" i="12" s="1"/>
  <c r="F23" i="8"/>
  <c r="F28" i="8"/>
  <c r="I19" i="12" s="1"/>
  <c r="F29" i="8"/>
  <c r="G24" i="15" s="1"/>
  <c r="G33" i="15" s="1"/>
  <c r="F30" i="8"/>
  <c r="G13" i="8"/>
  <c r="G14" i="8"/>
  <c r="G15" i="8"/>
  <c r="G19" i="8"/>
  <c r="G20" i="8"/>
  <c r="G25" i="8"/>
  <c r="J15" i="12" s="1"/>
  <c r="G23" i="8"/>
  <c r="G28" i="8"/>
  <c r="J19" i="12" s="1"/>
  <c r="G29" i="8"/>
  <c r="H24" i="15" s="1"/>
  <c r="H33" i="15" s="1"/>
  <c r="H230" i="6" l="1"/>
  <c r="E42" i="8"/>
  <c r="H28" i="12" s="1"/>
  <c r="H23" i="8"/>
  <c r="H186" i="5"/>
  <c r="F21" i="8" s="1"/>
  <c r="F22" i="8"/>
  <c r="H186" i="4"/>
  <c r="G21" i="8" s="1"/>
  <c r="F26" i="8"/>
  <c r="G26" i="8"/>
  <c r="H149" i="5"/>
  <c r="G208" i="5" s="1"/>
  <c r="H163" i="4"/>
  <c r="J18" i="12"/>
  <c r="H28" i="8"/>
  <c r="G24" i="8"/>
  <c r="J20" i="12" s="1"/>
  <c r="G22" i="8"/>
  <c r="H149" i="4"/>
  <c r="G16" i="8" s="1"/>
  <c r="H14" i="8"/>
  <c r="F24" i="8"/>
  <c r="I20" i="12" s="1"/>
  <c r="K20" i="12" s="1"/>
  <c r="H13" i="8"/>
  <c r="I18" i="12"/>
  <c r="G30" i="8"/>
  <c r="H25" i="8"/>
  <c r="H29" i="8"/>
  <c r="K19" i="12"/>
  <c r="H20" i="8"/>
  <c r="H163" i="5"/>
  <c r="F19" i="8"/>
  <c r="H19" i="8" s="1"/>
  <c r="F15" i="8"/>
  <c r="H15" i="8" s="1"/>
  <c r="J11" i="12" l="1"/>
  <c r="H21" i="15"/>
  <c r="H30" i="15" s="1"/>
  <c r="H12" i="15" s="1"/>
  <c r="I14" i="12"/>
  <c r="G20" i="15"/>
  <c r="H30" i="8"/>
  <c r="J14" i="12"/>
  <c r="I11" i="12"/>
  <c r="G21" i="15"/>
  <c r="J13" i="12"/>
  <c r="K13" i="12" s="1"/>
  <c r="H20" i="15"/>
  <c r="H11" i="15" s="1"/>
  <c r="H22" i="8"/>
  <c r="E43" i="8"/>
  <c r="H29" i="12" s="1"/>
  <c r="D24" i="11"/>
  <c r="D25" i="11" s="1"/>
  <c r="D26" i="11" s="1"/>
  <c r="D27" i="11" s="1"/>
  <c r="D28" i="11" s="1"/>
  <c r="H21" i="8"/>
  <c r="H208" i="5"/>
  <c r="F27" i="8" s="1"/>
  <c r="I21" i="12" s="1"/>
  <c r="H26" i="8"/>
  <c r="H24" i="8"/>
  <c r="K18" i="12"/>
  <c r="G162" i="5"/>
  <c r="H162" i="5" s="1"/>
  <c r="H168" i="5" s="1"/>
  <c r="F16" i="8"/>
  <c r="H16" i="8" s="1"/>
  <c r="G162" i="4"/>
  <c r="H162" i="4" s="1"/>
  <c r="H168" i="4" s="1"/>
  <c r="G208" i="4"/>
  <c r="H208" i="4" s="1"/>
  <c r="G30" i="15" l="1"/>
  <c r="I21" i="15"/>
  <c r="G11" i="15"/>
  <c r="I11" i="15" s="1"/>
  <c r="I20" i="15"/>
  <c r="K14" i="12"/>
  <c r="K11" i="12"/>
  <c r="H214" i="5"/>
  <c r="F32" i="8" s="1"/>
  <c r="I22" i="12" s="1"/>
  <c r="G27" i="8"/>
  <c r="H214" i="4"/>
  <c r="G17" i="8"/>
  <c r="H169" i="4"/>
  <c r="H28" i="15" s="1"/>
  <c r="F17" i="8"/>
  <c r="H169" i="5"/>
  <c r="G28" i="15" s="1"/>
  <c r="G12" i="15" l="1"/>
  <c r="I12" i="15" s="1"/>
  <c r="I30" i="15"/>
  <c r="H27" i="8"/>
  <c r="J21" i="12"/>
  <c r="K21" i="12" s="1"/>
  <c r="G22" i="15"/>
  <c r="G31" i="15" s="1"/>
  <c r="I12" i="12"/>
  <c r="J10" i="12"/>
  <c r="G18" i="8"/>
  <c r="H19" i="15" s="1"/>
  <c r="G32" i="8"/>
  <c r="H222" i="4"/>
  <c r="H17" i="8"/>
  <c r="F18" i="8"/>
  <c r="G19" i="15" s="1"/>
  <c r="I10" i="12"/>
  <c r="H222" i="5"/>
  <c r="I24" i="12" l="1"/>
  <c r="J12" i="12"/>
  <c r="K12" i="12" s="1"/>
  <c r="J22" i="12"/>
  <c r="K22" i="12" s="1"/>
  <c r="G13" i="15"/>
  <c r="G10" i="15"/>
  <c r="H10" i="15"/>
  <c r="I19" i="15"/>
  <c r="H32" i="8"/>
  <c r="H22" i="15"/>
  <c r="H31" i="15" s="1"/>
  <c r="H18" i="8"/>
  <c r="C226" i="4"/>
  <c r="C227" i="4"/>
  <c r="G40" i="8"/>
  <c r="F226" i="4"/>
  <c r="F223" i="4"/>
  <c r="F227" i="4"/>
  <c r="K10" i="12"/>
  <c r="C226" i="5"/>
  <c r="F226" i="5"/>
  <c r="C227" i="5"/>
  <c r="F227" i="5"/>
  <c r="F223" i="5"/>
  <c r="F40" i="8"/>
  <c r="J24" i="12" l="1"/>
  <c r="K24" i="12" s="1"/>
  <c r="I28" i="15"/>
  <c r="I10" i="15"/>
  <c r="I22" i="15"/>
  <c r="H40" i="8"/>
  <c r="G226" i="4"/>
  <c r="C225" i="4"/>
  <c r="F225" i="4"/>
  <c r="C224" i="4"/>
  <c r="F224" i="4"/>
  <c r="G41" i="8"/>
  <c r="J27" i="12" s="1"/>
  <c r="G226" i="5"/>
  <c r="F41" i="8"/>
  <c r="I27" i="12" s="1"/>
  <c r="F225" i="5"/>
  <c r="C224" i="5"/>
  <c r="C225" i="5"/>
  <c r="F224" i="5"/>
  <c r="H13" i="15" l="1"/>
  <c r="I13" i="15" s="1"/>
  <c r="I31" i="15"/>
  <c r="H41" i="8"/>
  <c r="G224" i="4"/>
  <c r="K27" i="12"/>
  <c r="G224" i="5"/>
  <c r="H228" i="4" l="1"/>
  <c r="H228" i="5"/>
  <c r="F42" i="8" s="1"/>
  <c r="I28" i="12" s="1"/>
  <c r="H230" i="4" l="1"/>
  <c r="D40" i="11" s="1"/>
  <c r="D41" i="11" s="1"/>
  <c r="D42" i="11" s="1"/>
  <c r="D43" i="11" s="1"/>
  <c r="D44" i="11" s="1"/>
  <c r="G42" i="8"/>
  <c r="H230" i="5"/>
  <c r="D32" i="11" s="1"/>
  <c r="D33" i="11" s="1"/>
  <c r="D34" i="11" s="1"/>
  <c r="D35" i="11" s="1"/>
  <c r="D36" i="11" s="1"/>
  <c r="H42" i="8" l="1"/>
  <c r="J28" i="12"/>
  <c r="K28" i="12" s="1"/>
  <c r="G43" i="8"/>
  <c r="J29" i="12" s="1"/>
  <c r="F43" i="8"/>
  <c r="I29" i="12" s="1"/>
  <c r="H43" i="8" l="1"/>
  <c r="K30" i="12" l="1"/>
  <c r="I24" i="15" l="1"/>
  <c r="D25" i="15"/>
  <c r="E34" i="15"/>
  <c r="E25" i="15"/>
  <c r="H34" i="15"/>
  <c r="H25" i="15"/>
  <c r="F34" i="15"/>
  <c r="F25" i="15"/>
  <c r="G34" i="15"/>
  <c r="G25" i="15"/>
  <c r="E15" i="15" l="1"/>
  <c r="E16" i="15" s="1"/>
  <c r="F15" i="15"/>
  <c r="F16" i="15" s="1"/>
  <c r="G15" i="15"/>
  <c r="G16" i="15" s="1"/>
  <c r="I33" i="15"/>
  <c r="D34" i="15"/>
  <c r="I34" i="15" s="1"/>
  <c r="I25" i="15"/>
  <c r="D15" i="15"/>
  <c r="H15" i="15"/>
  <c r="H16" i="15" s="1"/>
  <c r="I15" i="15" l="1"/>
  <c r="D16" i="15"/>
  <c r="I16" i="15" s="1"/>
  <c r="I3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ERSO</author>
    <author>erso</author>
    <author>tc={757BBFEC-2AE6-408E-8F9B-851C4463BCA2}</author>
    <author>tc={CEF59831-6F3B-42C2-B7B5-BA21FEF23130}</author>
    <author>tc={9DB408C7-8EE5-441A-842C-0E57C9059AD9}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ERSO:</t>
        </r>
        <r>
          <rPr>
            <sz val="9"/>
            <color indexed="81"/>
            <rFont val="Tahoma"/>
            <family val="2"/>
          </rPr>
          <t xml:space="preserve">
If non standard rate must select from pick list here.
</t>
        </r>
      </text>
    </comment>
    <comment ref="G2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erso:</t>
        </r>
        <r>
          <rPr>
            <sz val="9"/>
            <color indexed="81"/>
            <rFont val="Tahoma"/>
            <family val="2"/>
          </rPr>
          <t xml:space="preserve">
See notes at bottom of Reference to check deparment standard regarding % during academic year and summer &amp; adjust % to department standard. This defaults to EECS standard.
</t>
        </r>
      </text>
    </comment>
    <comment ref="F118" authorId="2" shapeId="0" xr:uid="{757BBFEC-2AE6-408E-8F9B-851C4463BCA2}">
      <text>
        <t>[Threaded comment]
Your version of Excel allows you to read this threaded comment; however, any edits to it will get removed if the file is opened in a newer version of Excel. Learn more: https://go.microsoft.com/fwlink/?linkid=870924
Comment:
    *If Monthly Salary is greater than $5.996 then select Blank and enter Monthly Salary in Year 1 Cell column G Box.</t>
      </text>
    </comment>
    <comment ref="F121" authorId="3" shapeId="0" xr:uid="{CEF59831-6F3B-42C2-B7B5-BA21FEF23130}">
      <text>
        <t>[Threaded comment]
Your version of Excel allows you to read this threaded comment; however, any edits to it will get removed if the file is opened in a newer version of Excel. Learn more: https://go.microsoft.com/fwlink/?linkid=870924
Comment:
    *If Monthly Salary is greater than $5.996 then select Blank and enter Monthly Salary in Year 1 Cell column G Box.</t>
      </text>
    </comment>
    <comment ref="F124" authorId="4" shapeId="0" xr:uid="{9DB408C7-8EE5-441A-842C-0E57C9059AD9}">
      <text>
        <t>[Threaded comment]
Your version of Excel allows you to read this threaded comment; however, any edits to it will get removed if the file is opened in a newer version of Excel. Learn more: https://go.microsoft.com/fwlink/?linkid=870924
Comment:
    *If Monthly Salary is greater than $5.996 then select Blank and enter Monthly Salary in Year 1 Cell column G Box.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<sst xmlns="http://schemas.openxmlformats.org/spreadsheetml/2006/main" count="7199" uniqueCount="1390">
  <si>
    <t>University of California, Berkeley</t>
  </si>
  <si>
    <t>Principal Investigator:</t>
  </si>
  <si>
    <t>Title:</t>
  </si>
  <si>
    <t>Research Type:</t>
  </si>
  <si>
    <t>Faculty</t>
  </si>
  <si>
    <t>SALARIES</t>
  </si>
  <si>
    <t>No. of Mos.</t>
  </si>
  <si>
    <t>Percent of Time</t>
  </si>
  <si>
    <t>Subtotal</t>
  </si>
  <si>
    <t>Total</t>
  </si>
  <si>
    <t>Graduate Student Researchers</t>
  </si>
  <si>
    <t>Total =</t>
  </si>
  <si>
    <t>September</t>
  </si>
  <si>
    <t>June - August</t>
  </si>
  <si>
    <t>October - December</t>
  </si>
  <si>
    <t>SALARY SUBTOTAL</t>
  </si>
  <si>
    <t>BENEFITS</t>
  </si>
  <si>
    <t>Other Personnel</t>
  </si>
  <si>
    <t>Student Assistant (Hourly)</t>
  </si>
  <si>
    <t>Professors</t>
  </si>
  <si>
    <t>Rate</t>
  </si>
  <si>
    <t>Graduate Student Health Insurance</t>
  </si>
  <si>
    <t>Postdoctoral Scholar Employee</t>
  </si>
  <si>
    <t>TRAVEL</t>
  </si>
  <si>
    <t>Trips:</t>
  </si>
  <si>
    <t>PI Travelers:</t>
  </si>
  <si>
    <t>Student Travelers:</t>
  </si>
  <si>
    <t>Airfare</t>
  </si>
  <si>
    <t>Meals</t>
  </si>
  <si>
    <t>Hotel</t>
  </si>
  <si>
    <t>Conf. Reg. PI</t>
  </si>
  <si>
    <t>Conf. Reg. Student</t>
  </si>
  <si>
    <t>Days:</t>
  </si>
  <si>
    <t>Per Diem</t>
  </si>
  <si>
    <t>PERSONNEL SUBTOTAL</t>
  </si>
  <si>
    <t>EQUIPMENT</t>
  </si>
  <si>
    <t>Amount</t>
  </si>
  <si>
    <t>SUPPLIES &amp; EXPENSES</t>
  </si>
  <si>
    <t>Computer Costs</t>
  </si>
  <si>
    <t>Annual Server Maintenance</t>
  </si>
  <si>
    <t>CIF Monthly Fee</t>
  </si>
  <si>
    <t>ICF Fee</t>
  </si>
  <si>
    <t>#</t>
  </si>
  <si>
    <t>Expendable Research Supplies</t>
  </si>
  <si>
    <t>(software,computer supplies, non-inventorial equipment, reproduction, shipping, mailing, etc.)</t>
  </si>
  <si>
    <t>TRAVEL SUBTOTAL</t>
  </si>
  <si>
    <t>EQUIPMENT SUBTOTAL</t>
  </si>
  <si>
    <t>SUPPLIES &amp; EXPENSES SUBTOTAL</t>
  </si>
  <si>
    <t>TOTAL DIRECT COSTS</t>
  </si>
  <si>
    <t>SUBAWARDS</t>
  </si>
  <si>
    <t>SUBAWARD SUBTOTAL</t>
  </si>
  <si>
    <t>TOTAL COST FOR YEAR 1</t>
  </si>
  <si>
    <t xml:space="preserve"> Resident GSRs  =</t>
  </si>
  <si>
    <t>Nonresident GSRs  =</t>
  </si>
  <si>
    <t xml:space="preserve">Total = </t>
  </si>
  <si>
    <t>Step</t>
  </si>
  <si>
    <t>Electrical Engineering and Computer Science</t>
  </si>
  <si>
    <t>VII</t>
  </si>
  <si>
    <t>Civil and Environmental Engineering</t>
  </si>
  <si>
    <t>III</t>
  </si>
  <si>
    <t>Industrial Engineering and Operations Research</t>
  </si>
  <si>
    <t>Mechanical Engineering</t>
  </si>
  <si>
    <t>BioEngineering</t>
  </si>
  <si>
    <t>Nuclear Engineering</t>
  </si>
  <si>
    <t>I</t>
  </si>
  <si>
    <t>Graduate - Resident</t>
  </si>
  <si>
    <t>+%</t>
  </si>
  <si>
    <t>Berkeley Campus Fee</t>
  </si>
  <si>
    <t>Class Pass Fee - Transit</t>
  </si>
  <si>
    <t>Health Insurance Fee</t>
  </si>
  <si>
    <t>TOTAL per Semester</t>
  </si>
  <si>
    <t>TOTAL per Year</t>
  </si>
  <si>
    <t>Graduate: Non-Resident</t>
  </si>
  <si>
    <t>(only individual items ≥ 5K)</t>
  </si>
  <si>
    <t>Salary</t>
  </si>
  <si>
    <t>Taxi:</t>
  </si>
  <si>
    <t>Year 1:</t>
  </si>
  <si>
    <t>Year 2:</t>
  </si>
  <si>
    <t>Year 3:</t>
  </si>
  <si>
    <t>Year 4:</t>
  </si>
  <si>
    <t>Year 5:</t>
  </si>
  <si>
    <t>Grad. Student Researchers</t>
  </si>
  <si>
    <t>Salary Subtotal</t>
  </si>
  <si>
    <t>Benefits Subtotal</t>
  </si>
  <si>
    <t>Personnel Subtotal</t>
  </si>
  <si>
    <t>Domestic</t>
  </si>
  <si>
    <t>Foreign</t>
  </si>
  <si>
    <t>Travel Subtotal</t>
  </si>
  <si>
    <t>Equipment Subtotal</t>
  </si>
  <si>
    <t>SUPPLIES</t>
  </si>
  <si>
    <t>Laptops</t>
  </si>
  <si>
    <t>Network access &amp; Maintenance</t>
  </si>
  <si>
    <t>Participant Support</t>
  </si>
  <si>
    <t>Supply/Expense Subtotal</t>
  </si>
  <si>
    <t>One</t>
  </si>
  <si>
    <t>Two</t>
  </si>
  <si>
    <t>Three</t>
  </si>
  <si>
    <t>Four</t>
  </si>
  <si>
    <t>Five</t>
  </si>
  <si>
    <t>TOTAL</t>
  </si>
  <si>
    <t>Year:</t>
  </si>
  <si>
    <t>Total Direct Costs</t>
  </si>
  <si>
    <t>Modified Total Direct Costs</t>
  </si>
  <si>
    <t>Indirect Costs</t>
  </si>
  <si>
    <t>Summary Budget</t>
  </si>
  <si>
    <t>TOTAL COST FOR YEAR</t>
  </si>
  <si>
    <t>Subaward Subtotal</t>
  </si>
  <si>
    <t>Programmer/Analyst (or other career staff)</t>
  </si>
  <si>
    <t>No Overhead-Sponsored Research</t>
  </si>
  <si>
    <t>Other Rate-(insert rate on Reference sheet)</t>
  </si>
  <si>
    <t>Blank</t>
  </si>
  <si>
    <t>GSR Total</t>
  </si>
  <si>
    <t xml:space="preserve"> Total</t>
  </si>
  <si>
    <t>II</t>
  </si>
  <si>
    <t>IV</t>
  </si>
  <si>
    <t>V</t>
  </si>
  <si>
    <t>VI</t>
  </si>
  <si>
    <t>VIII</t>
  </si>
  <si>
    <t>IX</t>
  </si>
  <si>
    <t>Rank</t>
  </si>
  <si>
    <t>Assistant Research Engineer</t>
  </si>
  <si>
    <t>Associate Research Engineer</t>
  </si>
  <si>
    <t>Research Engineer</t>
  </si>
  <si>
    <t>Assistant</t>
  </si>
  <si>
    <t>Specialist</t>
  </si>
  <si>
    <t>Jr. Specialist</t>
  </si>
  <si>
    <t>Asso. Specialist</t>
  </si>
  <si>
    <t>Asst./Asso./Research Engineer Monthly Rate</t>
  </si>
  <si>
    <t>Specialist Series Monthly Rate</t>
  </si>
  <si>
    <t>Department</t>
  </si>
  <si>
    <t>Year</t>
  </si>
  <si>
    <t>None</t>
  </si>
  <si>
    <t>none</t>
  </si>
  <si>
    <t>*See Reference for Rates</t>
  </si>
  <si>
    <t xml:space="preserve">Laptops </t>
  </si>
  <si>
    <t>BENEFITS SUBTOTAL</t>
  </si>
  <si>
    <t>Time Periods</t>
  </si>
  <si>
    <t>January - May</t>
  </si>
  <si>
    <t>July - August</t>
  </si>
  <si>
    <t>August</t>
  </si>
  <si>
    <t>June - July</t>
  </si>
  <si>
    <t>November - December</t>
  </si>
  <si>
    <t>October</t>
  </si>
  <si>
    <t>October - November</t>
  </si>
  <si>
    <t>February - May</t>
  </si>
  <si>
    <t>January</t>
  </si>
  <si>
    <t>March - May</t>
  </si>
  <si>
    <t>December</t>
  </si>
  <si>
    <t>January - February</t>
  </si>
  <si>
    <t>April - May</t>
  </si>
  <si>
    <t>January - March</t>
  </si>
  <si>
    <t>May</t>
  </si>
  <si>
    <t>January - April</t>
  </si>
  <si>
    <t>Other Career Staff</t>
  </si>
  <si>
    <t>MODIFIED TOTAL DIRECT COSTS***</t>
  </si>
  <si>
    <t>TOTAL COST FOR YEAR 5</t>
  </si>
  <si>
    <t>TOTAL COST FOR YEAR 4</t>
  </si>
  <si>
    <t>TOTAL COST FOR YEAR 3</t>
  </si>
  <si>
    <t>TOTAL COST FOR YEAR 2</t>
  </si>
  <si>
    <t>Proposed Budget</t>
  </si>
  <si>
    <t>Assistant Research Engineer, I</t>
  </si>
  <si>
    <t>Assistant Research Engineer, II</t>
  </si>
  <si>
    <t>Assistant Research Engineer, III</t>
  </si>
  <si>
    <t>Assistant Research Engineer, IV</t>
  </si>
  <si>
    <t>Assistant Research Engineer, V</t>
  </si>
  <si>
    <t>Assistant Research Engineer, VI</t>
  </si>
  <si>
    <t>Associate Research Engineer, I</t>
  </si>
  <si>
    <t>Associate Research Engineer, II</t>
  </si>
  <si>
    <t>Associate Research Engineer, III</t>
  </si>
  <si>
    <t>Associate Research Engineer, IV</t>
  </si>
  <si>
    <t>Associate Research Engineer, V</t>
  </si>
  <si>
    <t>Research Engineer, I</t>
  </si>
  <si>
    <t>Research Engineer, II</t>
  </si>
  <si>
    <t>Research Engineer, VI</t>
  </si>
  <si>
    <t>Research Engineer, III</t>
  </si>
  <si>
    <t>Research Engineer, IV</t>
  </si>
  <si>
    <t>Research Engineer, V</t>
  </si>
  <si>
    <t>Research Engineer, VII</t>
  </si>
  <si>
    <t>Research Engineer, VIII</t>
  </si>
  <si>
    <t>Research Engineer, IX</t>
  </si>
  <si>
    <t>Assistant Specialist, I</t>
  </si>
  <si>
    <t>Assistant Specialist, II</t>
  </si>
  <si>
    <t>Assistant Specialist, III</t>
  </si>
  <si>
    <t>Asso. Specialist, I</t>
  </si>
  <si>
    <t>Asso. Specialist, II</t>
  </si>
  <si>
    <t>Asso. Specialist, III</t>
  </si>
  <si>
    <t>Asso. Specialist, IV</t>
  </si>
  <si>
    <t>Specialist, I</t>
  </si>
  <si>
    <t>Specialist, II</t>
  </si>
  <si>
    <t>Specialist, III</t>
  </si>
  <si>
    <t>Specialist, IV</t>
  </si>
  <si>
    <t>Specialist, V</t>
  </si>
  <si>
    <t>Step II</t>
  </si>
  <si>
    <t>Step III</t>
  </si>
  <si>
    <t>Step IV</t>
  </si>
  <si>
    <t>Step V</t>
  </si>
  <si>
    <t>Step VI</t>
  </si>
  <si>
    <t>Select Researcher Type*:</t>
  </si>
  <si>
    <t xml:space="preserve"> Monthly Rate</t>
  </si>
  <si>
    <t>Monthly Rate</t>
  </si>
  <si>
    <t>Sponsor Type:</t>
  </si>
  <si>
    <t>Begin Date:</t>
  </si>
  <si>
    <t>End Date:</t>
  </si>
  <si>
    <t>through</t>
  </si>
  <si>
    <t>June</t>
  </si>
  <si>
    <t>Foreign Travel:</t>
  </si>
  <si>
    <t>Taxi</t>
  </si>
  <si>
    <t>Budget Years:</t>
  </si>
  <si>
    <t>Total=</t>
  </si>
  <si>
    <t>Lab Fees (per account monthly max.)</t>
  </si>
  <si>
    <t>Equipment Fee (per account monthly max.)</t>
  </si>
  <si>
    <t xml:space="preserve">Domestic Travel for technical meetings: </t>
  </si>
  <si>
    <t>you can get the formula.</t>
  </si>
  <si>
    <t>you must save with a different name. Just go back to the S: Drive template and</t>
  </si>
  <si>
    <t xml:space="preserve">you accidentally erase a needed formula, don't worry. The file is read only that </t>
  </si>
  <si>
    <t xml:space="preserve">Therefore you can overwrite any cell in sheets Year1 through Year5. However if </t>
  </si>
  <si>
    <t xml:space="preserve">This spreadsheet was designed with the goal of being as flexible as possible. </t>
  </si>
  <si>
    <t>Important Note:</t>
  </si>
  <si>
    <t>values in the succeeding years. You can change them in later years</t>
  </si>
  <si>
    <t xml:space="preserve">The values entered in blue on the first year will be the defaulted to </t>
  </si>
  <si>
    <t>Subawards:</t>
  </si>
  <si>
    <t>Enter values as required.</t>
  </si>
  <si>
    <t>Supplies and Expenses:</t>
  </si>
  <si>
    <t>Nothing in equipment defaults from the entries from the first year.</t>
  </si>
  <si>
    <t>Equipment:</t>
  </si>
  <si>
    <t>can be changed. Foreign per diem is based on the average figure</t>
  </si>
  <si>
    <t>The amounts entered for Conference registration , airfare, taxi etc.</t>
  </si>
  <si>
    <t>Enter the number of trips, number of days and how many PIs or students.</t>
  </si>
  <si>
    <t>Travel:</t>
  </si>
  <si>
    <t>above.</t>
  </si>
  <si>
    <t xml:space="preserve">You need to enter the number of Resident GSRs and the number of </t>
  </si>
  <si>
    <t>GSR Workers' Comp and Summer Benefits calculate automatically.</t>
  </si>
  <si>
    <t>Benefits:</t>
  </si>
  <si>
    <t xml:space="preserve">Make sure to indicate the correct number of personnel in each of these </t>
  </si>
  <si>
    <t>Reference page for Steps and Salaries. The salary will fill in correctly.</t>
  </si>
  <si>
    <t>You can choose Non-Senate Academic positions from the pick list. See</t>
  </si>
  <si>
    <t>Other</t>
  </si>
  <si>
    <t>Academic or Summer automatically populate. You will need to manually</t>
  </si>
  <si>
    <t>year effective October 1 of each year. Number of months and whether</t>
  </si>
  <si>
    <t>GSRs</t>
  </si>
  <si>
    <t>throughout the budget period.</t>
  </si>
  <si>
    <t>The values entered for salary in Year 1 will automatically escalate 4%</t>
  </si>
  <si>
    <t>the 1/9th or 1/12th salary rate for faculty as well as number of months</t>
  </si>
  <si>
    <t>There is a pick list of names for Faculty. You need to enter manually</t>
  </si>
  <si>
    <t>Salaries:</t>
  </si>
  <si>
    <t xml:space="preserve">This will figure the overhead correctly on the correct cell, either total </t>
  </si>
  <si>
    <t xml:space="preserve"> Reference sheet.</t>
  </si>
  <si>
    <r>
      <t xml:space="preserve">or </t>
    </r>
    <r>
      <rPr>
        <b/>
        <sz val="10"/>
        <rFont val="Arial"/>
        <family val="2"/>
      </rPr>
      <t>Other Overhead Rate.</t>
    </r>
    <r>
      <rPr>
        <sz val="10"/>
        <rFont val="Arial"/>
        <family val="2"/>
      </rPr>
      <t xml:space="preserve"> The first 3 will automatically put in the correct</t>
    </r>
  </si>
  <si>
    <r>
      <t xml:space="preserve">Select from the pick list if it is </t>
    </r>
    <r>
      <rPr>
        <b/>
        <sz val="10"/>
        <rFont val="Arial"/>
        <family val="2"/>
      </rPr>
      <t>On Campus, Off Campus, No Overhead</t>
    </r>
  </si>
  <si>
    <t xml:space="preserve">Research Type: </t>
  </si>
  <si>
    <t>the rest of the budget period years in the appropriate places.</t>
  </si>
  <si>
    <t xml:space="preserve">The date fields and the heading information will then automatically fill in correctly for </t>
  </si>
  <si>
    <t>Then select from the pick list in Budget Years: the number of years in your budget.</t>
  </si>
  <si>
    <t>Enter Principal Investigator name, Proposal Title and Budget Begin Date.</t>
  </si>
  <si>
    <t>Heading:</t>
  </si>
  <si>
    <t>Legend:</t>
  </si>
  <si>
    <t xml:space="preserve">     Budget Template Instructions</t>
  </si>
  <si>
    <t>from the State Department's tables of all countries. Enter number of trips,</t>
  </si>
  <si>
    <t>Step I</t>
  </si>
  <si>
    <t>Storage Infrastructure Fee</t>
  </si>
  <si>
    <t>Annual Desktop Maintenance</t>
  </si>
  <si>
    <t>Consultants</t>
  </si>
  <si>
    <t>Abrahamson,Norman A</t>
  </si>
  <si>
    <t>Adler,Ilan</t>
  </si>
  <si>
    <t>Agogino,Alice M</t>
  </si>
  <si>
    <t>Alon,Elad</t>
  </si>
  <si>
    <t>Alvarez-Cohen,Lisa</t>
  </si>
  <si>
    <t>Anantharam,Venkatacha</t>
  </si>
  <si>
    <t>Arkin,Adam P</t>
  </si>
  <si>
    <t>Armero,Francisco</t>
  </si>
  <si>
    <t>Asanovic,Krste</t>
  </si>
  <si>
    <t>Atamturk,Alper</t>
  </si>
  <si>
    <t>Auslander,David M</t>
  </si>
  <si>
    <t>Bartlett,Peter Leslie</t>
  </si>
  <si>
    <t>Bokor,Jeffrey</t>
  </si>
  <si>
    <t>Borrelli,Francesco</t>
  </si>
  <si>
    <t>Boser,Bernhard E</t>
  </si>
  <si>
    <t>Bray,Jonathan D</t>
  </si>
  <si>
    <t>Brimhall,George H</t>
  </si>
  <si>
    <t>Canny,John F</t>
  </si>
  <si>
    <t>Carey,Van P</t>
  </si>
  <si>
    <t>Carmena,Jose Miguel</t>
  </si>
  <si>
    <t>Casey,James</t>
  </si>
  <si>
    <t>Cassidy,Michael J</t>
  </si>
  <si>
    <t>Chang-Hasnain,Constance J</t>
  </si>
  <si>
    <t>Chen,Jyh-Yuan</t>
  </si>
  <si>
    <t>Chopra,Anil K</t>
  </si>
  <si>
    <t>Chow,Fotini Katopodes</t>
  </si>
  <si>
    <t>Chrzan,Daryl C</t>
  </si>
  <si>
    <t>Chua,Leon O</t>
  </si>
  <si>
    <t>Conolly,Steven</t>
  </si>
  <si>
    <t>Demmel,James W</t>
  </si>
  <si>
    <t>Derenzo,Stephen E</t>
  </si>
  <si>
    <t>Devine,Thomas M</t>
  </si>
  <si>
    <t>Dreger,Douglas S</t>
  </si>
  <si>
    <t>Dubon,Oscar D</t>
  </si>
  <si>
    <t>El Ghaoui,Laurent</t>
  </si>
  <si>
    <t>Fearing,Ronald S</t>
  </si>
  <si>
    <t>Fernandez-Pello,CARLOS</t>
  </si>
  <si>
    <t>Filippou,Filippos</t>
  </si>
  <si>
    <t>Frenklach,Michael Y</t>
  </si>
  <si>
    <t>Gastpar,Michael C</t>
  </si>
  <si>
    <t>Glaeser,Andreas M</t>
  </si>
  <si>
    <t>Glaser,Steven D</t>
  </si>
  <si>
    <t>Goldberg,Kenneth Yigael</t>
  </si>
  <si>
    <t>Govindjee,Sanjay</t>
  </si>
  <si>
    <t>Greenspan,Ehud</t>
  </si>
  <si>
    <t>Greif,Ralph</t>
  </si>
  <si>
    <t>Grigoropoulos,Costas P</t>
  </si>
  <si>
    <t>Hansen,Mark</t>
  </si>
  <si>
    <t>Harley,Robert A</t>
  </si>
  <si>
    <t>Head-Gordon,Teresa</t>
  </si>
  <si>
    <t>Healy,Kevin E</t>
  </si>
  <si>
    <t>Hellerstein,Joseph M</t>
  </si>
  <si>
    <t>Herr,Amy E.</t>
  </si>
  <si>
    <t>Hochbaum,Dorit S</t>
  </si>
  <si>
    <t>Holmes,Ian H.</t>
  </si>
  <si>
    <t>Horowitz,Roberto</t>
  </si>
  <si>
    <t>Hunt,James R</t>
  </si>
  <si>
    <t>Ibbs,Charles William</t>
  </si>
  <si>
    <t>Javey,Ali</t>
  </si>
  <si>
    <t>Johnson,George C</t>
  </si>
  <si>
    <t>Jordan,Michael</t>
  </si>
  <si>
    <t>Joseph,Anthony D</t>
  </si>
  <si>
    <t>Kaminsky,Philip M</t>
  </si>
  <si>
    <t>Kanafani,Adib</t>
  </si>
  <si>
    <t>Katz,Randy H</t>
  </si>
  <si>
    <t>Kazerooni,Homayoon</t>
  </si>
  <si>
    <t>Keaveny,Tony M</t>
  </si>
  <si>
    <t>Klein,Daniel Louis</t>
  </si>
  <si>
    <t>Komvopoulos,Kyriakos</t>
  </si>
  <si>
    <t>Kubiatowicz,John D</t>
  </si>
  <si>
    <t>Leachman,Robert C</t>
  </si>
  <si>
    <t>Lee,Luke P</t>
  </si>
  <si>
    <t>Lee,Seung-Wuk</t>
  </si>
  <si>
    <t>Leung,Ka-Ngo</t>
  </si>
  <si>
    <t>Li,Shaofan</t>
  </si>
  <si>
    <t>Liepmann,Dorian</t>
  </si>
  <si>
    <t>Lieu,Dennis Kenmon</t>
  </si>
  <si>
    <t>Lin,Liwei</t>
  </si>
  <si>
    <t>Liu,Tsu-Jae King</t>
  </si>
  <si>
    <t>Ma,Fai</t>
  </si>
  <si>
    <t>Maharbiz,Michel Martin</t>
  </si>
  <si>
    <t>Mahin,Stephen A</t>
  </si>
  <si>
    <t>Majumdar,Sharmila</t>
  </si>
  <si>
    <t>Malik,Jitendra</t>
  </si>
  <si>
    <t>Marcus,Philip S</t>
  </si>
  <si>
    <t>Mcmains,Sara</t>
  </si>
  <si>
    <t>Moehle,Jack P</t>
  </si>
  <si>
    <t>Mofrad,Mohammad</t>
  </si>
  <si>
    <t>Monteiro,Paulo J</t>
  </si>
  <si>
    <t>Morse,Edward C</t>
  </si>
  <si>
    <t>Mosalam,Khalid M</t>
  </si>
  <si>
    <t>Nelson,Kara L</t>
  </si>
  <si>
    <t>Nguyen,Clark Tu-Cuong</t>
  </si>
  <si>
    <t>Niknejad,Ali M</t>
  </si>
  <si>
    <t>Nikolic,Borivoje</t>
  </si>
  <si>
    <t>O'Brien,James</t>
  </si>
  <si>
    <t>O'Reilly,Oliver M</t>
  </si>
  <si>
    <t>Ostertag,Claudia P</t>
  </si>
  <si>
    <t>Packard,Andrew K</t>
  </si>
  <si>
    <t>Parekh,Abhay K</t>
  </si>
  <si>
    <t>Patzek,Tadeusz</t>
  </si>
  <si>
    <t>Peterson,Per F</t>
  </si>
  <si>
    <t>Pister,Kristofer S J</t>
  </si>
  <si>
    <t>Pruitt,Lisa A</t>
  </si>
  <si>
    <t>Rabaey,Jan M</t>
  </si>
  <si>
    <t>Ramchandran,Kannan</t>
  </si>
  <si>
    <t>Rao,Satish B</t>
  </si>
  <si>
    <t>Rector,James W III</t>
  </si>
  <si>
    <t>Rempel,David</t>
  </si>
  <si>
    <t>Riemer,Michael F</t>
  </si>
  <si>
    <t>Righter,Rhonda Lee</t>
  </si>
  <si>
    <t>Ritchie,Robert O</t>
  </si>
  <si>
    <t>Rubin,Yoram N</t>
  </si>
  <si>
    <t>Russell,Stuart J</t>
  </si>
  <si>
    <t>Sahai,Anant</t>
  </si>
  <si>
    <t>Sanders,Seth R</t>
  </si>
  <si>
    <t>Sangiovanni-Vincentelli,Alberto Luigi</t>
  </si>
  <si>
    <t>Sastry,Sosale Shankar</t>
  </si>
  <si>
    <t>Savas,Omer</t>
  </si>
  <si>
    <t>Sedlak,David L</t>
  </si>
  <si>
    <t>Sen,Koushik</t>
  </si>
  <si>
    <t>Seshia,Sanjit Arunkumar</t>
  </si>
  <si>
    <t>Shenker,Scott J</t>
  </si>
  <si>
    <t>Sinclair,Alistair J</t>
  </si>
  <si>
    <t>Sitar,Nicholas</t>
  </si>
  <si>
    <t>Skabardonis,Alexander</t>
  </si>
  <si>
    <t>Song,Xiaodong Dawn</t>
  </si>
  <si>
    <t>Song,Yun S.</t>
  </si>
  <si>
    <t>Spanos,Costas J</t>
  </si>
  <si>
    <t>Stacey,Mark T</t>
  </si>
  <si>
    <t>Steigmann,David John</t>
  </si>
  <si>
    <t>Stoica,Ion</t>
  </si>
  <si>
    <t>Subramanian,Vivek</t>
  </si>
  <si>
    <t>Tomizuka,Masayoshi</t>
  </si>
  <si>
    <t>Tomlin,Claire Jennifer</t>
  </si>
  <si>
    <t>Tommelein,Iris D</t>
  </si>
  <si>
    <t>Trevisan,Luca</t>
  </si>
  <si>
    <t>Vazirani,Umesh V</t>
  </si>
  <si>
    <t>Vetter,Kai</t>
  </si>
  <si>
    <t>Vujic,Jasmina L</t>
  </si>
  <si>
    <t>Wagner,David</t>
  </si>
  <si>
    <t>Wainwright,Martin J.</t>
  </si>
  <si>
    <t>Wawrzynek,John</t>
  </si>
  <si>
    <t>Wu,Ming-Chiang A.</t>
  </si>
  <si>
    <t>Xu,Ting</t>
  </si>
  <si>
    <t>Yablonovitch,Eli</t>
  </si>
  <si>
    <t>Yano,Candace Arai</t>
  </si>
  <si>
    <t>Yelick,Katherine A</t>
  </si>
  <si>
    <t>Yeung,Ronald W</t>
  </si>
  <si>
    <t>Zakhor,Avideh</t>
  </si>
  <si>
    <t>Zohdi,Tarek I</t>
  </si>
  <si>
    <t>Year One</t>
  </si>
  <si>
    <t>Year One Target Total Budget:</t>
  </si>
  <si>
    <t>Total Budget As Is:</t>
  </si>
  <si>
    <t>Difference:</t>
  </si>
  <si>
    <t>Miscellaneuos Expense Budget=</t>
  </si>
  <si>
    <t>Optimizer</t>
  </si>
  <si>
    <t>Year Two</t>
  </si>
  <si>
    <t>Year Three</t>
  </si>
  <si>
    <t>Year Four</t>
  </si>
  <si>
    <t>Year Five</t>
  </si>
  <si>
    <t>Worksheet to calculate miscellaneous expense monthly budget for remaining available budget OR reduction to miscellaneuous expense to achieve Target Budget:</t>
  </si>
  <si>
    <t>** Budget</t>
  </si>
  <si>
    <t>After you've put in the other budget requirements into the template, in order to maximize your remaining allowed budget, you can figure your budget for miscellaneous</t>
  </si>
  <si>
    <t>enter percentages. (eg. Does your PI pay 50% or 75% over the summer?</t>
  </si>
  <si>
    <t>and number of individuals in each year. Travel does not automatically</t>
  </si>
  <si>
    <t>populate in future years from 1st year entries.</t>
  </si>
  <si>
    <t xml:space="preserve">if you need to.  Exceptions to this: Travel, Equipment and Subawards, you need </t>
  </si>
  <si>
    <t xml:space="preserve">to enter each year's. These will not default from the first year. </t>
  </si>
  <si>
    <t xml:space="preserve">The Summary Budget is not protected and allows for you to change the </t>
  </si>
  <si>
    <t>names of categories if needed.</t>
  </si>
  <si>
    <t>Abbeel, P</t>
  </si>
  <si>
    <t>Arcak,Murat</t>
  </si>
  <si>
    <t>Bayen,Alexandre</t>
  </si>
  <si>
    <t>Conboy, Irina</t>
  </si>
  <si>
    <t>Fletcher, Daniel</t>
  </si>
  <si>
    <t>Guo,Xin</t>
  </si>
  <si>
    <t>Hermanowicz,Slawomir</t>
  </si>
  <si>
    <t>Horvath,Arpad</t>
  </si>
  <si>
    <t>Keasling,Jay</t>
  </si>
  <si>
    <t>Kumar, Sanjay</t>
  </si>
  <si>
    <t>Li,Song</t>
  </si>
  <si>
    <t>Maboudian,Roya</t>
  </si>
  <si>
    <t>Mao,Samuel</t>
  </si>
  <si>
    <t>Marriott,Gerard</t>
  </si>
  <si>
    <t>Minor,Andrew</t>
  </si>
  <si>
    <t>Morris,Stephen</t>
  </si>
  <si>
    <t>Mossel,Elchanar</t>
  </si>
  <si>
    <t>Panagiotou,M</t>
  </si>
  <si>
    <t>Papadopoulos,Panayiotis</t>
  </si>
  <si>
    <t>Paxson,Vern</t>
  </si>
  <si>
    <t>Salahuddin,S</t>
  </si>
  <si>
    <t>Sengupta,Raja</t>
  </si>
  <si>
    <t>Shen,Zuo-Jun</t>
  </si>
  <si>
    <t>Shewchuk,J</t>
  </si>
  <si>
    <t>Sidhu,Ikhlaq</t>
  </si>
  <si>
    <t>Sohn,Lydia Lee</t>
  </si>
  <si>
    <t>Walker,Joan</t>
  </si>
  <si>
    <t>Wu,Junqiao</t>
  </si>
  <si>
    <t xml:space="preserve">and percentages. </t>
  </si>
  <si>
    <t>Template Instructions:</t>
  </si>
  <si>
    <t>Materials Science and Engineering</t>
  </si>
  <si>
    <t>Asta,Mark</t>
  </si>
  <si>
    <t>Chuang,John Chung</t>
  </si>
  <si>
    <t>Delong,James</t>
  </si>
  <si>
    <t>Dracup,John</t>
  </si>
  <si>
    <t>Fox,Armando</t>
  </si>
  <si>
    <t>Full,Robert</t>
  </si>
  <si>
    <t>Gadgil,Ashok</t>
  </si>
  <si>
    <t>Hartmann,Bjorn</t>
  </si>
  <si>
    <t>Hosemann,Peter</t>
  </si>
  <si>
    <t>Isaacs,Andrew M</t>
  </si>
  <si>
    <t>Kuehlmann,Andreas</t>
  </si>
  <si>
    <t>Lustig,Shimon Michael</t>
  </si>
  <si>
    <t>Mulligan,Deirdre</t>
  </si>
  <si>
    <t>Powell,Thomas</t>
  </si>
  <si>
    <t>Roychowdhury,Jaijeet</t>
  </si>
  <si>
    <t>Salmeron,Miguel B</t>
  </si>
  <si>
    <t>Wessel,David</t>
  </si>
  <si>
    <t>White,Richard</t>
  </si>
  <si>
    <t>Wolisz,Adam Marian</t>
  </si>
  <si>
    <t>Student Services Fee</t>
  </si>
  <si>
    <t>Tuition</t>
  </si>
  <si>
    <t>Non-Res. Supplemental Tuition</t>
  </si>
  <si>
    <r>
      <t xml:space="preserve">3) Equipment (defined as equip.costs </t>
    </r>
    <r>
      <rPr>
        <sz val="12"/>
        <rFont val="Arial"/>
        <family val="2"/>
      </rPr>
      <t>≥</t>
    </r>
    <r>
      <rPr>
        <sz val="12"/>
        <rFont val="Arial"/>
        <family val="2"/>
      </rPr>
      <t xml:space="preserve"> $5K), Graduate Student Health Insurance, GSR Fee Remission, Nonresident Tuition, Participant Support/Stipends,</t>
    </r>
  </si>
  <si>
    <t>Infrastructure Capitalization Fee (ICF), and Subaward amounts in excess of 25K are overhead exempt.</t>
  </si>
  <si>
    <t xml:space="preserve">at which a post doc must be </t>
  </si>
  <si>
    <t xml:space="preserve">appointed for the listed </t>
  </si>
  <si>
    <t>experience level.</t>
  </si>
  <si>
    <r>
      <t xml:space="preserve">The above rates are the </t>
    </r>
    <r>
      <rPr>
        <b/>
        <sz val="10"/>
        <rFont val="Arial"/>
        <family val="2"/>
      </rPr>
      <t>minima</t>
    </r>
    <r>
      <rPr>
        <sz val="10"/>
        <rFont val="Arial"/>
        <family val="2"/>
      </rPr>
      <t xml:space="preserve"> </t>
    </r>
  </si>
  <si>
    <t xml:space="preserve">Increases thereafter must </t>
  </si>
  <si>
    <t>Level 0 (0-11 months)</t>
  </si>
  <si>
    <t>Level 1 (12-23 months)</t>
  </si>
  <si>
    <t>Level 2 (24-35 months)</t>
  </si>
  <si>
    <t>Level 3 (36-47 months)</t>
  </si>
  <si>
    <t>Level 4(48-59 months)</t>
  </si>
  <si>
    <t>Level 5 (60-71 months)</t>
  </si>
  <si>
    <t xml:space="preserve">be to at least the rate listed for the </t>
  </si>
  <si>
    <t>appropriate experience level.</t>
  </si>
  <si>
    <t>Resident GSR Tuition</t>
  </si>
  <si>
    <t>Nonresident GSR Tuition</t>
  </si>
  <si>
    <t>Nonresident Supplemental Tuition</t>
  </si>
  <si>
    <t>Arias,Ana Claudia</t>
  </si>
  <si>
    <t>Alam,Mohammad-reza</t>
  </si>
  <si>
    <t>Fenves, Gregory</t>
  </si>
  <si>
    <t>Ratnasamy,Sylvia</t>
  </si>
  <si>
    <t>Yamazaki, Kazuo</t>
  </si>
  <si>
    <t>Dames,Christopher E</t>
  </si>
  <si>
    <t>Fleming, Lee</t>
  </si>
  <si>
    <t>Persson,Per-Olof</t>
  </si>
  <si>
    <t>Thompson,Sally</t>
  </si>
  <si>
    <t>Van Bibber,Karl</t>
  </si>
  <si>
    <t>Other Academic (Asso.Res./Specialist, etc.)</t>
  </si>
  <si>
    <t>Standard or Other</t>
  </si>
  <si>
    <t>fraction1</t>
  </si>
  <si>
    <t>fraction2</t>
  </si>
  <si>
    <t>rate1</t>
  </si>
  <si>
    <t>rate2</t>
  </si>
  <si>
    <t>Aswani,Anil Jayanti</t>
  </si>
  <si>
    <t>Macdonald,Digby</t>
  </si>
  <si>
    <t>Moura,Scott</t>
  </si>
  <si>
    <t>o'Connell,Grace</t>
  </si>
  <si>
    <t>Paulos,Eric J</t>
  </si>
  <si>
    <t>Raghavendra,Prasad</t>
  </si>
  <si>
    <t>Ramesh,Ramamoorthy</t>
  </si>
  <si>
    <t>Shadden,Shawn</t>
  </si>
  <si>
    <t>Slaybaugh, Rachel</t>
  </si>
  <si>
    <t>Waller,Laura</t>
  </si>
  <si>
    <t>Efros, Alexei</t>
  </si>
  <si>
    <t>Fratoni, Massimiliano</t>
  </si>
  <si>
    <t>Pozdnukhov, Alexey</t>
  </si>
  <si>
    <t>Recht,Benjamin</t>
  </si>
  <si>
    <t>Stojanovic,Vladimir</t>
  </si>
  <si>
    <t>Taylor,Hayden</t>
  </si>
  <si>
    <t>Yao, Jie</t>
  </si>
  <si>
    <t>Yosef,Nir</t>
  </si>
  <si>
    <t>candidacy. After 3 years NRT will be at full rate if the student has not completed PhD.</t>
  </si>
  <si>
    <t>Courtade, Thomas</t>
  </si>
  <si>
    <t>Messersmith,Phillip</t>
  </si>
  <si>
    <t>Off Campus Rate</t>
  </si>
  <si>
    <t>Benefits</t>
  </si>
  <si>
    <t>Academic</t>
  </si>
  <si>
    <t>Staff</t>
  </si>
  <si>
    <t>Limited</t>
  </si>
  <si>
    <t>Tuition Cost</t>
  </si>
  <si>
    <t>FY</t>
  </si>
  <si>
    <t>Graduate Student Health Insurance Rate 1</t>
  </si>
  <si>
    <t>Graduate Student Health Insurance Rate 2</t>
  </si>
  <si>
    <t>Semester 1</t>
  </si>
  <si>
    <t>Semester 2</t>
  </si>
  <si>
    <t>Resident GSR Tuition Rate 1</t>
  </si>
  <si>
    <t>Resident GSR Tuition Rate 2</t>
  </si>
  <si>
    <t>Nonresident GSR Tuition Rate 1</t>
  </si>
  <si>
    <t>Nonresident GSR Tuition Rate 2</t>
  </si>
  <si>
    <t>Nonresident Supplemental Tuition Rate 1</t>
  </si>
  <si>
    <t>Nonresident Supplemental Tuition Rate 2</t>
  </si>
  <si>
    <t>Monthly Total</t>
  </si>
  <si>
    <t>Miscellaneous Direct Expense 1/12th Monthly Budget=</t>
  </si>
  <si>
    <t>some miscellaneuous budget then increase or decrease  your 1/12th direct amount by the amount below in bold in order to achieve your target budget.</t>
  </si>
  <si>
    <t>2020-2021</t>
  </si>
  <si>
    <t>2021-2022</t>
  </si>
  <si>
    <t>Darrell, Trevor</t>
  </si>
  <si>
    <t>Garg,Sanjam</t>
  </si>
  <si>
    <t>Shaheen,Susan</t>
  </si>
  <si>
    <t>Zheng,Haimei</t>
  </si>
  <si>
    <t>Hrs. Est=</t>
  </si>
  <si>
    <t>Banfield,Jill</t>
  </si>
  <si>
    <t>Ceder, Gerbrand</t>
  </si>
  <si>
    <t>Cheshire,Coye</t>
  </si>
  <si>
    <t>Dragan,Anca</t>
  </si>
  <si>
    <t>Hansen,Morten</t>
  </si>
  <si>
    <t>Hearst,Marti</t>
  </si>
  <si>
    <t>Kammen,Daniel</t>
  </si>
  <si>
    <t>Lavaeiyanesi,Javad</t>
  </si>
  <si>
    <t>Mi,Baoxia</t>
  </si>
  <si>
    <t>Ng, Yi-Ren</t>
  </si>
  <si>
    <t>Parekh, Shyam Pramod</t>
  </si>
  <si>
    <t>Popa, Raluca</t>
  </si>
  <si>
    <t>Samuelson,Pamela</t>
  </si>
  <si>
    <t>Saxenian,Annalee</t>
  </si>
  <si>
    <t>Weber,Steven</t>
  </si>
  <si>
    <t>Yang,Peidong</t>
  </si>
  <si>
    <t>Yartsev, Michael</t>
  </si>
  <si>
    <t xml:space="preserve">July </t>
  </si>
  <si>
    <t xml:space="preserve">4) There will be no NRT for 3 years for students who have advanced to </t>
  </si>
  <si>
    <t>Ager, Joel</t>
  </si>
  <si>
    <t>Gonzalez, Joseph Edgar</t>
  </si>
  <si>
    <t>Makiharju, Simo Aleksi</t>
  </si>
  <si>
    <t>Muller, Rikky</t>
  </si>
  <si>
    <t>Ryokai, Kimiko</t>
  </si>
  <si>
    <t>Soga, Kenichi</t>
  </si>
  <si>
    <t>Streets,Aaron</t>
  </si>
  <si>
    <t>2022-2023</t>
  </si>
  <si>
    <t>2023-2024</t>
  </si>
  <si>
    <t>Information School</t>
  </si>
  <si>
    <t>Dutta,Prabal</t>
  </si>
  <si>
    <t>Friedland,Gerald</t>
  </si>
  <si>
    <t>Grigas,Paul</t>
  </si>
  <si>
    <t>Levine,Sergey</t>
  </si>
  <si>
    <t>Liu,Chunlei</t>
  </si>
  <si>
    <t>Ragan-Kelley,Jonathan</t>
  </si>
  <si>
    <t>Vandsburger,Moriel</t>
  </si>
  <si>
    <t>Martin,Lane</t>
  </si>
  <si>
    <t>Blumenstock,Joshua</t>
  </si>
  <si>
    <t>Hardt,Moritz</t>
  </si>
  <si>
    <t>Horsley,David</t>
  </si>
  <si>
    <t>Mueller,Mark</t>
  </si>
  <si>
    <t>Scott,Mary Cooper</t>
  </si>
  <si>
    <t>Table 23</t>
  </si>
  <si>
    <t xml:space="preserve">expenses by inputing your Target Total Budget per year in the green cell. Then input the 1/12th monthly budget into each years' cell F96. If you already have </t>
  </si>
  <si>
    <t>Principal Investigator (Last, First):</t>
  </si>
  <si>
    <t>Exhibit B</t>
  </si>
  <si>
    <t>COMPOSITE BUDGET: ESTIMATE FOR ENTIRE PROPOSED PROJECT PERIOD</t>
  </si>
  <si>
    <t>to</t>
  </si>
  <si>
    <t>From:</t>
  </si>
  <si>
    <t>To:</t>
  </si>
  <si>
    <t>BUDGET CATEGORY</t>
  </si>
  <si>
    <t>Year 1</t>
  </si>
  <si>
    <t>Year 2</t>
  </si>
  <si>
    <t>Year 3</t>
  </si>
  <si>
    <t>MATERIALS &amp; SUPPLIES</t>
  </si>
  <si>
    <t>CONSULTANT</t>
  </si>
  <si>
    <t>SUBRECIPIENT(S)*</t>
  </si>
  <si>
    <t>OTHER DIRECT COSTS (ODC)</t>
  </si>
  <si>
    <t>Indirect (F&amp;A) Costs</t>
  </si>
  <si>
    <t>F&amp;A Base</t>
  </si>
  <si>
    <t>MTDC</t>
  </si>
  <si>
    <t>TOTAL ESTIMATED COSTS PER YEAR</t>
  </si>
  <si>
    <t>TOTAL ESTIMATED COSTS FOR PROPOSED PROJECT PERIOD</t>
  </si>
  <si>
    <t>Year 4</t>
  </si>
  <si>
    <t>Year 5</t>
  </si>
  <si>
    <t>PERSONNEL: Salary and fringe benefits(less tuition)</t>
  </si>
  <si>
    <t>Indirect (F&amp;A) Costs*</t>
  </si>
  <si>
    <t>Abergel,Rebecca</t>
  </si>
  <si>
    <t>Bamman,David</t>
  </si>
  <si>
    <t>Ceder-Persson, Krisitin A</t>
  </si>
  <si>
    <t>Goldwaser,Shafi</t>
  </si>
  <si>
    <t>Pilawa-Podgurski,Robert</t>
  </si>
  <si>
    <t>Sreenath,Koushil</t>
  </si>
  <si>
    <t>2024-2025</t>
  </si>
  <si>
    <t>Barcellos,Lisa</t>
  </si>
  <si>
    <t>Chiesa,Alessandro</t>
  </si>
  <si>
    <t>DeJong,Matthew</t>
  </si>
  <si>
    <t>Gu,Grace</t>
  </si>
  <si>
    <t>Listgarten,Jennifer</t>
  </si>
  <si>
    <t>Pardos,Zachary</t>
  </si>
  <si>
    <t>Stuart,Hannah</t>
  </si>
  <si>
    <t>GAEL Insurance</t>
  </si>
  <si>
    <t>$</t>
  </si>
  <si>
    <t xml:space="preserve">Other   </t>
  </si>
  <si>
    <t xml:space="preserve">overhead rate in cell G113. If you have selected Other Overhead Rate, </t>
  </si>
  <si>
    <t xml:space="preserve">then go to the Reference tab and enter the rate into Cell E7 of the </t>
  </si>
  <si>
    <t>Federal or Non-Federal:</t>
  </si>
  <si>
    <t>GAEL will calculate automatically on Labor cost under supplies and expenses.</t>
  </si>
  <si>
    <t xml:space="preserve">Nonresident GSRs.  E47 provides a reference check that your </t>
  </si>
  <si>
    <t xml:space="preserve">Residents and Nonresidents equal the number entered in salaries </t>
  </si>
  <si>
    <t>Enter values in each year that it is required - only individual items &gt;5K.</t>
  </si>
  <si>
    <t>GAEL autocalculates which is why it is shaded green. Do not enter value.</t>
  </si>
  <si>
    <t>Consultants- enter values as required each year in blue shaded area.</t>
  </si>
  <si>
    <t>Other - added for any other category needed - enter values in blue shaded area.</t>
  </si>
  <si>
    <t>2025-2026</t>
  </si>
  <si>
    <t>Murthy,Niren</t>
  </si>
  <si>
    <t>Budinger,Thomas</t>
  </si>
  <si>
    <t>Denero,John</t>
  </si>
  <si>
    <t>Egelman,Serge</t>
  </si>
  <si>
    <t>Evans,James</t>
  </si>
  <si>
    <t>Garcia,Dan</t>
  </si>
  <si>
    <t>HU,Chenming</t>
  </si>
  <si>
    <t>Hug,Joshua</t>
  </si>
  <si>
    <t>Jiao,Jiantao</t>
  </si>
  <si>
    <t>Lieberman,Michael</t>
  </si>
  <si>
    <t>Lichtenberg,Allen</t>
  </si>
  <si>
    <t>McMullin,Kurt</t>
  </si>
  <si>
    <t>Morris,John</t>
  </si>
  <si>
    <t>Neureuther,Andrew</t>
  </si>
  <si>
    <t>Oren,Shmuel</t>
  </si>
  <si>
    <t>Rakas,Jasenka</t>
  </si>
  <si>
    <t>Wu,Po Chi</t>
  </si>
  <si>
    <t>Zhou,Kun</t>
  </si>
  <si>
    <t>Chan,Chingyao</t>
  </si>
  <si>
    <t>Goldblum,Bethany</t>
  </si>
  <si>
    <t>Koyluoglu,Onur Ozan</t>
  </si>
  <si>
    <t>Kurzhanskiy,Alexander</t>
  </si>
  <si>
    <t>Mateos Moreno,Angel</t>
  </si>
  <si>
    <t>Mishchenko,Alan</t>
  </si>
  <si>
    <t>Sherburne,Matthew</t>
  </si>
  <si>
    <t>Sojoudi,Somayeh</t>
  </si>
  <si>
    <t>Specht,Petra</t>
  </si>
  <si>
    <t>UCRP Assessment</t>
  </si>
  <si>
    <t>Al Balushi,Zakaria</t>
  </si>
  <si>
    <t>Becker,Tracy</t>
  </si>
  <si>
    <t>Delucchi,Mark</t>
  </si>
  <si>
    <t>Goucher-Lambert,Kosa</t>
  </si>
  <si>
    <t>Konstantinidis,Dimitrios</t>
  </si>
  <si>
    <t>Lareau,Liana</t>
  </si>
  <si>
    <t>Lipman,Timothy</t>
  </si>
  <si>
    <t>Lu,Xiao-Yun</t>
  </si>
  <si>
    <t>Ragland,David</t>
  </si>
  <si>
    <t>Scarlat,Raluca</t>
  </si>
  <si>
    <t>Anderson,Mark</t>
  </si>
  <si>
    <t>Bhatia,Neerja</t>
  </si>
  <si>
    <t>Bourdier,Jean</t>
  </si>
  <si>
    <t>Brager,Gail</t>
  </si>
  <si>
    <t>Buntrock,Dana</t>
  </si>
  <si>
    <t>Buresh,Tom</t>
  </si>
  <si>
    <t>Caldas,Luisa</t>
  </si>
  <si>
    <t>Caldeira,Teresa</t>
  </si>
  <si>
    <t>Chapple,Karen</t>
  </si>
  <si>
    <t>Choksombatchai,Raveevarn</t>
  </si>
  <si>
    <t>Chow,Renee</t>
  </si>
  <si>
    <t>Collier,Stephen</t>
  </si>
  <si>
    <t>Corburn,Jason</t>
  </si>
  <si>
    <t>Crawford,Margaret</t>
  </si>
  <si>
    <t>Crysler,C</t>
  </si>
  <si>
    <t>Davids, Rene</t>
  </si>
  <si>
    <t>Deakin,Elizabeth</t>
  </si>
  <si>
    <t>de Monchaux,Nicholas</t>
  </si>
  <si>
    <t>Fraker,Harrison</t>
  </si>
  <si>
    <t>Hood,Walter</t>
  </si>
  <si>
    <t>Iwamoto,Lisa</t>
  </si>
  <si>
    <t>Keutzer,Kurt</t>
  </si>
  <si>
    <t>Kondolf,G</t>
  </si>
  <si>
    <t>Macdonald,Elizabeth</t>
  </si>
  <si>
    <t>Mozingo,Louise</t>
  </si>
  <si>
    <t>Plevin,Richard</t>
  </si>
  <si>
    <t>Rael,Ronald</t>
  </si>
  <si>
    <t>Rodriguez,Daniel</t>
  </si>
  <si>
    <t>Shanken,Andrew</t>
  </si>
  <si>
    <t>Sullivan,Charles</t>
  </si>
  <si>
    <t>Ubbelohde,M</t>
  </si>
  <si>
    <t>Waddell,Paul</t>
  </si>
  <si>
    <t>Wolch,Jennifer</t>
  </si>
  <si>
    <t>GSR Step II</t>
  </si>
  <si>
    <t>GSR Step I</t>
  </si>
  <si>
    <t>GSR Step III</t>
  </si>
  <si>
    <t>GSR Step IV</t>
  </si>
  <si>
    <t>GSR Step V</t>
  </si>
  <si>
    <t>GSR Step VI</t>
  </si>
  <si>
    <t>GSR Step VII</t>
  </si>
  <si>
    <t>GSR Step VIII</t>
  </si>
  <si>
    <t>GSR Step IX</t>
  </si>
  <si>
    <t>GSR Step X</t>
  </si>
  <si>
    <t>Bachrach,Jonathan</t>
  </si>
  <si>
    <t>Critch,Andrew</t>
  </si>
  <si>
    <t>Flynn,Anita</t>
  </si>
  <si>
    <t>Gomez,Gabriel</t>
  </si>
  <si>
    <t>Hurst,Aaron</t>
  </si>
  <si>
    <t>Kawamura,Emi</t>
  </si>
  <si>
    <t>Landau,Zeph</t>
  </si>
  <si>
    <t>Mauch,Michael</t>
  </si>
  <si>
    <t>Meng,Huadong</t>
  </si>
  <si>
    <t>Olmstead,David</t>
  </si>
  <si>
    <t>Perez,Yael</t>
  </si>
  <si>
    <t>Sanchez Del La Sierra,Raul</t>
  </si>
  <si>
    <t>Yang,Allen</t>
  </si>
  <si>
    <t>Acey,Charisma</t>
  </si>
  <si>
    <t>Black,Gary</t>
  </si>
  <si>
    <t>Brand,Anna</t>
  </si>
  <si>
    <t>Calott,Christopher</t>
  </si>
  <si>
    <t>Castillo,Greg</t>
  </si>
  <si>
    <t>Chatman,Daniel</t>
  </si>
  <si>
    <t>Cheung,Alvin</t>
  </si>
  <si>
    <t>Cooper,Danika</t>
  </si>
  <si>
    <t>Dronova,Iryna</t>
  </si>
  <si>
    <t>Duguid,Paul</t>
  </si>
  <si>
    <t>Frick,Karen</t>
  </si>
  <si>
    <t>Galante,Carol</t>
  </si>
  <si>
    <t>Gonzalez,Marta</t>
  </si>
  <si>
    <t>Gutierrez,Maria Paz</t>
  </si>
  <si>
    <t>Hill,Kristina</t>
  </si>
  <si>
    <t>Hindle,Richard</t>
  </si>
  <si>
    <t>Hoofnagle,Chris</t>
  </si>
  <si>
    <t>Hughes,Douglas</t>
  </si>
  <si>
    <t>Ioannidis,Nilah</t>
  </si>
  <si>
    <t>Kullmann,Carl</t>
  </si>
  <si>
    <t>Laskowski,Paul</t>
  </si>
  <si>
    <t>Meyer,David</t>
  </si>
  <si>
    <t>Nelson,Jelani</t>
  </si>
  <si>
    <t>Nunberg,Jeffrey</t>
  </si>
  <si>
    <t>Parameswaran,Aditya</t>
  </si>
  <si>
    <t>Radke,John</t>
  </si>
  <si>
    <t>Reid,Carolina</t>
  </si>
  <si>
    <t>Reiley,David</t>
  </si>
  <si>
    <t>Rivera,Michael</t>
  </si>
  <si>
    <t>Saha,Barna</t>
  </si>
  <si>
    <t>Salehi,Niloufar</t>
  </si>
  <si>
    <t>Schiavon,Stefano</t>
  </si>
  <si>
    <t>Schleicher,Simon</t>
  </si>
  <si>
    <t>Steinfeld,Kyle</t>
  </si>
  <si>
    <t>Tal,Avishay</t>
  </si>
  <si>
    <t>Turan,Neyran</t>
  </si>
  <si>
    <t>Variano,Evan</t>
  </si>
  <si>
    <t>Xiao,Qiang</t>
  </si>
  <si>
    <t>Zheng,Zeyu</t>
  </si>
  <si>
    <t>Student</t>
  </si>
  <si>
    <t>Students</t>
  </si>
  <si>
    <t>2026-2027</t>
  </si>
  <si>
    <t>2) Increases for Graduate Student Health Insurance, GSR Fee Remission and Nonresident Tuition are projected annually at 4%.</t>
  </si>
  <si>
    <t xml:space="preserve">7) Postdocs,GSRs,GSIs,student assistants are excluded from UCRP calculation </t>
  </si>
  <si>
    <t>2027-2028</t>
  </si>
  <si>
    <t>On Campus Rate to 7/1/20-6/30/21</t>
  </si>
  <si>
    <t>On Campus Rate to 7/1/19-6/30/20</t>
  </si>
  <si>
    <t xml:space="preserve">TOTAL INDIRECT COSTS </t>
  </si>
  <si>
    <t>Effective 10/24</t>
  </si>
  <si>
    <t>IDC Total</t>
  </si>
  <si>
    <t>Base</t>
  </si>
  <si>
    <t>MTDC Base Indirect Rate</t>
  </si>
  <si>
    <t>Total Cost Base Indirect</t>
  </si>
  <si>
    <t>Anderson,John</t>
  </si>
  <si>
    <t>Dueber,John</t>
  </si>
  <si>
    <t>Farid,Hany</t>
  </si>
  <si>
    <t>Gollner,Michael</t>
  </si>
  <si>
    <t>Hsu,Patrick</t>
  </si>
  <si>
    <t>Kante,Boubacar</t>
  </si>
  <si>
    <t>Ma,Yi</t>
  </si>
  <si>
    <t>Poolla,Kameshwar</t>
  </si>
  <si>
    <t>Shao,Yakun</t>
  </si>
  <si>
    <t>Titov,Denis</t>
  </si>
  <si>
    <t>Zekkos,Dimitrios</t>
  </si>
  <si>
    <t>Ames,Morgan</t>
  </si>
  <si>
    <t>Apte,Joshua</t>
  </si>
  <si>
    <t>Chasins,Sarah</t>
  </si>
  <si>
    <t>Chiesi,Leonardo</t>
  </si>
  <si>
    <t>Crooks,Natacha</t>
  </si>
  <si>
    <t>Katsnelson,Zema</t>
  </si>
  <si>
    <t>Kayen,Robert</t>
  </si>
  <si>
    <t>Kim,Angjoo</t>
  </si>
  <si>
    <t>Lamb,Zachary</t>
  </si>
  <si>
    <t>Vaikuntanathan,Vinod</t>
  </si>
  <si>
    <t>Chakrabarti,Vishaan</t>
  </si>
  <si>
    <t>Chayes,Jennifer</t>
  </si>
  <si>
    <t>Johnson,Terry</t>
  </si>
  <si>
    <t>Magruder,Jeremy</t>
  </si>
  <si>
    <t>Udwani,Rajan</t>
  </si>
  <si>
    <t>Effective 10/25</t>
  </si>
  <si>
    <t>Abebe, Rediet</t>
  </si>
  <si>
    <t>Betti, Giovanni</t>
  </si>
  <si>
    <t>Haghtalab, Nika</t>
  </si>
  <si>
    <t>Hussain, Muhammad</t>
  </si>
  <si>
    <t>Pickering, Amy</t>
  </si>
  <si>
    <t>Sanchez Prieto, Marcel</t>
  </si>
  <si>
    <t>Anumanchipalli,Gopala</t>
  </si>
  <si>
    <t>Bernstein,Lee</t>
  </si>
  <si>
    <t>Clark,Ian</t>
  </si>
  <si>
    <t>Delcassian,Derfogail</t>
  </si>
  <si>
    <t>Sipahigil,Alp</t>
  </si>
  <si>
    <t>Vidyasagar,Mathukumali</t>
  </si>
  <si>
    <t>Zhang,Xiang</t>
  </si>
  <si>
    <t>Kaminski,Alexis</t>
  </si>
  <si>
    <t>El Karoui, Noureddine</t>
  </si>
  <si>
    <t>Fithian, William</t>
  </si>
  <si>
    <t>Ganguly, Shirshendu</t>
  </si>
  <si>
    <t>Guntuboyina, Adityanand</t>
  </si>
  <si>
    <t>Mahoney, Michael</t>
  </si>
  <si>
    <t>Paciorek, Christopher</t>
  </si>
  <si>
    <t>Pitman, James</t>
  </si>
  <si>
    <t>Purdom, Elizabeth</t>
  </si>
  <si>
    <t>Rasmus, Nielsen</t>
  </si>
  <si>
    <t>Sekhon, Jasjeet</t>
  </si>
  <si>
    <t>Song, Mei</t>
  </si>
  <si>
    <t>Carrasquillo,Maya</t>
  </si>
  <si>
    <t>Delle Monache,Maria</t>
  </si>
  <si>
    <t>Ding,Peng</t>
  </si>
  <si>
    <t>Hamstead,Zoe</t>
  </si>
  <si>
    <t>Hooker,Giles</t>
  </si>
  <si>
    <t>Ivey,Cesunica</t>
  </si>
  <si>
    <t>Kaazem Pur Mofrad,Mohammad</t>
  </si>
  <si>
    <t>Omar,Ahmad</t>
  </si>
  <si>
    <t>Pimentel,Samuel</t>
  </si>
  <si>
    <t>Rivera,Danielle</t>
  </si>
  <si>
    <t>Stark,Philip</t>
  </si>
  <si>
    <t>Steinhardt,Jacob</t>
  </si>
  <si>
    <t>Tikhomirov,Grigory</t>
  </si>
  <si>
    <t>2028-2029</t>
  </si>
  <si>
    <t>Aganagic, Mina</t>
  </si>
  <si>
    <t>Agol, Ian</t>
  </si>
  <si>
    <t>Allen, Richard</t>
  </si>
  <si>
    <t>Altman, Ehud</t>
  </si>
  <si>
    <t>Attwood, William</t>
  </si>
  <si>
    <t>Balakrishnan,Sai</t>
  </si>
  <si>
    <t>Bale, Stuart</t>
  </si>
  <si>
    <t>Bamler, Richard</t>
  </si>
  <si>
    <t>Beckwith, Steven</t>
  </si>
  <si>
    <t>Benarous, Gerard</t>
  </si>
  <si>
    <t>Betzig, Robert</t>
  </si>
  <si>
    <t>Birgenau, Robert</t>
  </si>
  <si>
    <t>Bloom, Joshua</t>
  </si>
  <si>
    <t>Boering, Kristie</t>
  </si>
  <si>
    <t>Boos, William</t>
  </si>
  <si>
    <t>Borcherds, Richard</t>
  </si>
  <si>
    <t>Bousso, Raphael</t>
  </si>
  <si>
    <t>Budker, Dmitry</t>
  </si>
  <si>
    <t>Buffet, Bruce</t>
  </si>
  <si>
    <t>Burgmann, Roland</t>
  </si>
  <si>
    <t>Canic, Suncica</t>
  </si>
  <si>
    <t>Chiang, Eugene</t>
  </si>
  <si>
    <t>Cohen, Marvin</t>
  </si>
  <si>
    <t>Corteel,Sylvie</t>
  </si>
  <si>
    <t>Crommie, Michael</t>
  </si>
  <si>
    <t>Dai, Liang</t>
  </si>
  <si>
    <t>DePaolo, Donald</t>
  </si>
  <si>
    <t>DeWeese, Michael</t>
  </si>
  <si>
    <t>Dressing, Courtney</t>
  </si>
  <si>
    <t>Dudoit, Sandrine</t>
  </si>
  <si>
    <t>Edwards, Bethany</t>
  </si>
  <si>
    <t>Eisenbud, David</t>
  </si>
  <si>
    <t>Elliott, Jesse</t>
  </si>
  <si>
    <t>Evans, Steven</t>
  </si>
  <si>
    <t>Fajans, Joel</t>
  </si>
  <si>
    <t>Falcone, Roger</t>
  </si>
  <si>
    <t>Filippenko, Alexei</t>
  </si>
  <si>
    <t>Frenkel, Edward</t>
  </si>
  <si>
    <t>Fung, Inez</t>
  </si>
  <si>
    <t>Ganor, Ori</t>
  </si>
  <si>
    <t>Gerlein-Safdi, Cynthia</t>
  </si>
  <si>
    <t>Givental, Alexander</t>
  </si>
  <si>
    <t>Gray, Heather</t>
  </si>
  <si>
    <t>Gu, Ming</t>
  </si>
  <si>
    <t>Guruswami,Venkatesan</t>
  </si>
  <si>
    <t>Haeffner, Hartmut</t>
  </si>
  <si>
    <t>Haiman, Mark</t>
  </si>
  <si>
    <t>Hall, Lawrence</t>
  </si>
  <si>
    <t>Hallatschek, Oskar</t>
  </si>
  <si>
    <t>Hammond,Alan</t>
  </si>
  <si>
    <t>Harrison, Virginia</t>
  </si>
  <si>
    <t>Haxton, Wick</t>
  </si>
  <si>
    <t>Hellman, Frances</t>
  </si>
  <si>
    <t>Holtz, Olga</t>
  </si>
  <si>
    <t>Holzapfel, William</t>
  </si>
  <si>
    <t>Horava, Petr</t>
  </si>
  <si>
    <t>Huang,Haiyan</t>
  </si>
  <si>
    <t>Hutchings, Michael</t>
  </si>
  <si>
    <t>Jacak, Barbara</t>
  </si>
  <si>
    <t>Jeanloz, Raymond</t>
  </si>
  <si>
    <t>Ji, Na</t>
  </si>
  <si>
    <t>Kasen, Daniel</t>
  </si>
  <si>
    <t>Knobloch, Edgar</t>
  </si>
  <si>
    <t>Kolomenskky, Yury</t>
  </si>
  <si>
    <t>Kriek, Mariska</t>
  </si>
  <si>
    <t>Lanzara, Alessandra</t>
  </si>
  <si>
    <t>Lau, Chung Pui Harriet</t>
  </si>
  <si>
    <t>Lee, Adrian</t>
  </si>
  <si>
    <t>Lee, Dung-Hai</t>
  </si>
  <si>
    <t>Lin, Lin</t>
  </si>
  <si>
    <t>Lott, John</t>
  </si>
  <si>
    <t>Louie, Steven</t>
  </si>
  <si>
    <t>Lu, Jessica</t>
  </si>
  <si>
    <t>Ma, Chung-Pei</t>
  </si>
  <si>
    <t>Ma, Yue</t>
  </si>
  <si>
    <t>Manga, Michael</t>
  </si>
  <si>
    <t>Margutti, Raffaella</t>
  </si>
  <si>
    <t>Mastrolia,Thibaut</t>
  </si>
  <si>
    <t>McKinsey, Daniel</t>
  </si>
  <si>
    <t>Mei,Song</t>
  </si>
  <si>
    <t>Militzer, Burkhard</t>
  </si>
  <si>
    <t>Montalban, Antonio</t>
  </si>
  <si>
    <t>Moore, Joel</t>
  </si>
  <si>
    <t>Mueller, Holger</t>
  </si>
  <si>
    <t>Murayama, Hitoshi</t>
  </si>
  <si>
    <t>Nadler, David</t>
  </si>
  <si>
    <t>Neaton, Jeffrey</t>
  </si>
  <si>
    <t>Nielsen, Rasmus</t>
  </si>
  <si>
    <t>Nolan,Deb</t>
  </si>
  <si>
    <t>Nomura, Yasunori</t>
  </si>
  <si>
    <t>Oh, Sung-Jin</t>
  </si>
  <si>
    <t>Olsson, Martin</t>
  </si>
  <si>
    <t>Orebi Gann, Gabriel</t>
  </si>
  <si>
    <t>Orenstein, Joseph</t>
  </si>
  <si>
    <t>Parsons, Aaron</t>
  </si>
  <si>
    <t>Penington, Geoffrey</t>
  </si>
  <si>
    <t>Perez, Fernando</t>
  </si>
  <si>
    <t>Perlmutter, Saul</t>
  </si>
  <si>
    <t>Pyle, Matt</t>
  </si>
  <si>
    <t>Quataert, Eliot</t>
  </si>
  <si>
    <t>Qiu, Zi</t>
  </si>
  <si>
    <t>Renne, Paul</t>
  </si>
  <si>
    <t>Rezakhanlou, Fraydoun</t>
  </si>
  <si>
    <t>Ribet, Kenneth</t>
  </si>
  <si>
    <t>Rieffel, Marc</t>
  </si>
  <si>
    <t>Romps, David</t>
  </si>
  <si>
    <t>Safdi, Benjamin</t>
  </si>
  <si>
    <t>Scanlon, Thomas</t>
  </si>
  <si>
    <t>Seljak, Uros</t>
  </si>
  <si>
    <t>Serganova, Vera</t>
  </si>
  <si>
    <t>Sethian, James</t>
  </si>
  <si>
    <t>Shapiro, Marjorie</t>
  </si>
  <si>
    <t>Shende, Vivek</t>
  </si>
  <si>
    <t>Shin, Sug Woo</t>
  </si>
  <si>
    <t>Shuster, David</t>
  </si>
  <si>
    <t>Siddiqi, Irfan</t>
  </si>
  <si>
    <t>Simon, Pierre</t>
  </si>
  <si>
    <t>Slaman, Theodore</t>
  </si>
  <si>
    <t>Srivastava, Nikhil</t>
  </si>
  <si>
    <t>Stamper-Kurn, Dan</t>
  </si>
  <si>
    <t>Stolper, Daniel</t>
  </si>
  <si>
    <t>Sturmfels, Bernd</t>
  </si>
  <si>
    <t>Sun, Song</t>
  </si>
  <si>
    <t>Swanson-hysell, Nicholas</t>
  </si>
  <si>
    <t>Tataru, Daniel</t>
  </si>
  <si>
    <t>Teleman, Constantin</t>
  </si>
  <si>
    <t>Voiculescu, Dan Virgi</t>
  </si>
  <si>
    <t>Vojta, Paul</t>
  </si>
  <si>
    <t>Wang, Feng</t>
  </si>
  <si>
    <t>Wang, Haichen</t>
  </si>
  <si>
    <t>Wang, Ziqi</t>
  </si>
  <si>
    <t>Wehrheim, Katrin</t>
  </si>
  <si>
    <t>Weiser, Penelope</t>
  </si>
  <si>
    <t>Weisz, Daniel</t>
  </si>
  <si>
    <t>White, Martin</t>
  </si>
  <si>
    <t>Wilkening, Jon</t>
  </si>
  <si>
    <t>Wodzicki, Mariusz</t>
  </si>
  <si>
    <t>Wright, John</t>
  </si>
  <si>
    <t>Wurtele, Jonathan</t>
  </si>
  <si>
    <t>Yao, Norman</t>
  </si>
  <si>
    <t>Yildiz, Ahmet</t>
  </si>
  <si>
    <t>Yu, Bin</t>
  </si>
  <si>
    <t>Yu, Stella</t>
  </si>
  <si>
    <t>Zaletel, Michael</t>
  </si>
  <si>
    <t>Zettl, Alex</t>
  </si>
  <si>
    <t>Zhang, Ruixiang</t>
  </si>
  <si>
    <t>Zworski, Maciej</t>
  </si>
  <si>
    <t>Statistics</t>
  </si>
  <si>
    <t>Physics</t>
  </si>
  <si>
    <t>Earth &amp; Planetary Science</t>
  </si>
  <si>
    <t>Astronomy</t>
  </si>
  <si>
    <t>Mathematics</t>
  </si>
  <si>
    <t>GSR Pay Rate by Academic Department</t>
  </si>
  <si>
    <t>* Reference</t>
  </si>
  <si>
    <t>Aldous,David</t>
  </si>
  <si>
    <t>de Pater,Imke</t>
  </si>
  <si>
    <t>Downey,Christopher</t>
  </si>
  <si>
    <t>Doyle,Fiona</t>
  </si>
  <si>
    <t>Eftaxiopoulos,Georgios</t>
  </si>
  <si>
    <t>Feng,Tony</t>
  </si>
  <si>
    <t>Goldberg,Gabriel</t>
  </si>
  <si>
    <t>Gorin,Vadim</t>
  </si>
  <si>
    <t>Hosbey,Justin</t>
  </si>
  <si>
    <t>Kahn,Steven</t>
  </si>
  <si>
    <t>Lindsey,Michael</t>
  </si>
  <si>
    <t>Lu,Wenbin</t>
  </si>
  <si>
    <t>Nazaroff,William</t>
  </si>
  <si>
    <t>Okounkov,Andrei</t>
  </si>
  <si>
    <t>Pirutinsky,Daniel</t>
  </si>
  <si>
    <t>Romanowicz,Barbara</t>
  </si>
  <si>
    <t>Strain,John</t>
  </si>
  <si>
    <t>Tang,Yunqing</t>
  </si>
  <si>
    <t>Tibshirani,Ryan</t>
  </si>
  <si>
    <t>Zheng,Xiaoyu</t>
  </si>
  <si>
    <t>Effective 10/26</t>
  </si>
  <si>
    <t>Adhikari,Anindita</t>
  </si>
  <si>
    <t>Ayazifar,Babak</t>
  </si>
  <si>
    <t>Bray, Andrew</t>
  </si>
  <si>
    <t>Liu,Stewart</t>
  </si>
  <si>
    <t>Ranade,Gireeja</t>
  </si>
  <si>
    <t>Stankova,Zvezdelina</t>
  </si>
  <si>
    <t>Weber,Franziska</t>
  </si>
  <si>
    <t>FY24</t>
  </si>
  <si>
    <t>FY25</t>
  </si>
  <si>
    <t>FY26</t>
  </si>
  <si>
    <t>FY27</t>
  </si>
  <si>
    <t>FY28</t>
  </si>
  <si>
    <t>FY23</t>
  </si>
  <si>
    <t>January - June</t>
  </si>
  <si>
    <t>July - December</t>
  </si>
  <si>
    <t>February - June</t>
  </si>
  <si>
    <t>July - January</t>
  </si>
  <si>
    <t>March - June</t>
  </si>
  <si>
    <t>July - February</t>
  </si>
  <si>
    <t>April - June</t>
  </si>
  <si>
    <t>July - March</t>
  </si>
  <si>
    <t>May - June</t>
  </si>
  <si>
    <t>July - April</t>
  </si>
  <si>
    <t>July - May</t>
  </si>
  <si>
    <t>July - June</t>
  </si>
  <si>
    <t>August - June</t>
  </si>
  <si>
    <t>July</t>
  </si>
  <si>
    <t>September - June</t>
  </si>
  <si>
    <t>October - June</t>
  </si>
  <si>
    <t>July - September</t>
  </si>
  <si>
    <t>November - June</t>
  </si>
  <si>
    <t>July - October</t>
  </si>
  <si>
    <t>December - June</t>
  </si>
  <si>
    <t>July - November</t>
  </si>
  <si>
    <t>Period 1</t>
  </si>
  <si>
    <t>Period 2</t>
  </si>
  <si>
    <t>number of months_period2_AR</t>
  </si>
  <si>
    <t>number of months_Period1AR</t>
  </si>
  <si>
    <t>Salary2</t>
  </si>
  <si>
    <t>AR_Title</t>
  </si>
  <si>
    <t>FY_AR</t>
  </si>
  <si>
    <t>Postdoc Salary</t>
  </si>
  <si>
    <t>FY_Postdoc</t>
  </si>
  <si>
    <t>Period 1 Postdoc</t>
  </si>
  <si>
    <t>January - September</t>
  </si>
  <si>
    <t>February - September</t>
  </si>
  <si>
    <t>October - January</t>
  </si>
  <si>
    <t>March - September</t>
  </si>
  <si>
    <t>October - February</t>
  </si>
  <si>
    <t>April - September</t>
  </si>
  <si>
    <t>October - March</t>
  </si>
  <si>
    <t>May - September</t>
  </si>
  <si>
    <t>October - April</t>
  </si>
  <si>
    <t>June - September</t>
  </si>
  <si>
    <t>October - May</t>
  </si>
  <si>
    <t>August - September</t>
  </si>
  <si>
    <t>October - July</t>
  </si>
  <si>
    <t>October - September</t>
  </si>
  <si>
    <t>October - August</t>
  </si>
  <si>
    <t>Period2 Postdoc</t>
  </si>
  <si>
    <t>number of mos_per2_postdoc</t>
  </si>
  <si>
    <t>number of mos_Period1_postdoc</t>
  </si>
  <si>
    <t>AR</t>
  </si>
  <si>
    <t>Fy26</t>
  </si>
  <si>
    <t>FY29</t>
  </si>
  <si>
    <t>AR_FY</t>
  </si>
  <si>
    <t>November - September</t>
  </si>
  <si>
    <t>December - September</t>
  </si>
  <si>
    <t>date postdoc</t>
  </si>
  <si>
    <t>cal months postdoc</t>
  </si>
  <si>
    <t>Escalation Group</t>
  </si>
  <si>
    <t>Faculty effective 7/1</t>
  </si>
  <si>
    <t>Non-Academic effective 7/1</t>
  </si>
  <si>
    <t>Edit % based on Dept.</t>
  </si>
  <si>
    <t>Salary Escalations :</t>
  </si>
  <si>
    <t>Academic Researchers (ARs) effective 7/1/23 and annually 7/1</t>
  </si>
  <si>
    <t>Postdoc Subtotal:</t>
  </si>
  <si>
    <t>2029-2030</t>
  </si>
  <si>
    <t>personnel, see Table below.</t>
  </si>
  <si>
    <t xml:space="preserve">1) All salaries are based on current rates. Cost of living increases are projected at 4% per annum for faculty and non academic staff, and various for other </t>
  </si>
  <si>
    <t>Effective 10/27</t>
  </si>
  <si>
    <t>FY30</t>
  </si>
  <si>
    <t>Approved</t>
  </si>
  <si>
    <t>Projections for Planning Purposes ⟶</t>
  </si>
  <si>
    <t>CBR Rate Group</t>
  </si>
  <si>
    <t>FY21</t>
  </si>
  <si>
    <t>FY22</t>
  </si>
  <si>
    <t>Employees with No Benefit Eligibility</t>
  </si>
  <si>
    <t>Students (Graduate and Undergraduate)</t>
  </si>
  <si>
    <t>Proposed and not yet approved rates are now in the template. If sponsors question their use please refer them to the SPO Analyst.</t>
  </si>
  <si>
    <t>Nanolab Access Fee</t>
  </si>
  <si>
    <t>Nanolab Usage :</t>
  </si>
  <si>
    <t>UCRP Assessment Rates</t>
  </si>
  <si>
    <t>Month of Hire</t>
  </si>
  <si>
    <t>April</t>
  </si>
  <si>
    <t>February</t>
  </si>
  <si>
    <t>exp</t>
  </si>
  <si>
    <t>March</t>
  </si>
  <si>
    <t>range</t>
  </si>
  <si>
    <t>April Level Increase</t>
  </si>
  <si>
    <t>October Level Increase</t>
  </si>
  <si>
    <t>Level</t>
  </si>
  <si>
    <t>Date</t>
  </si>
  <si>
    <t>November</t>
  </si>
  <si>
    <t>Monthly</t>
  </si>
  <si>
    <t>Enter rate if &gt; Step 5:</t>
  </si>
  <si>
    <t>Exp. Level:</t>
  </si>
  <si>
    <t>hire date 1</t>
  </si>
  <si>
    <t>hire date 2</t>
  </si>
  <si>
    <t>Hire Date 2PX</t>
  </si>
  <si>
    <t>February - March</t>
  </si>
  <si>
    <t>November - March</t>
  </si>
  <si>
    <t>December - March</t>
  </si>
  <si>
    <t>April - July</t>
  </si>
  <si>
    <t>April - August</t>
  </si>
  <si>
    <t>FY23E</t>
  </si>
  <si>
    <t>FY24R</t>
  </si>
  <si>
    <t>FY24E</t>
  </si>
  <si>
    <t>FY25R</t>
  </si>
  <si>
    <t>FY25E</t>
  </si>
  <si>
    <t>FY26R</t>
  </si>
  <si>
    <t>FY26E</t>
  </si>
  <si>
    <t>FY27R</t>
  </si>
  <si>
    <t>FY27E</t>
  </si>
  <si>
    <t>FY28R</t>
  </si>
  <si>
    <t>FY28E</t>
  </si>
  <si>
    <t>FY29R</t>
  </si>
  <si>
    <t>FY29E</t>
  </si>
  <si>
    <t>FY30R</t>
  </si>
  <si>
    <t>FY23R</t>
  </si>
  <si>
    <t>EXP</t>
  </si>
  <si>
    <t>Hire Date- Oct/Nov/Dec/Jan/Feb/Mar:</t>
  </si>
  <si>
    <t>Hire Date- Apr/May/Jun/Jul/Aug/Sept:</t>
  </si>
  <si>
    <t>Recall</t>
  </si>
  <si>
    <t>Calendar</t>
  </si>
  <si>
    <t>NIH Salary Cap?</t>
  </si>
  <si>
    <t>Yes</t>
  </si>
  <si>
    <t>mo.</t>
  </si>
  <si>
    <t>No</t>
  </si>
  <si>
    <t>Salary Type</t>
  </si>
  <si>
    <t>Select Salary Type</t>
  </si>
  <si>
    <t>Participant Support/Travel</t>
  </si>
  <si>
    <t>Participant Support/Subsistence</t>
  </si>
  <si>
    <t xml:space="preserve">Participant Support/Other </t>
  </si>
  <si>
    <t xml:space="preserve">Participant Support/Stipend </t>
  </si>
  <si>
    <t>Publications</t>
  </si>
  <si>
    <t>UC Sub?</t>
  </si>
  <si>
    <t>*Template assumes subawards begin in Year  1. if sub begins in Year 2, modify MTDC to include IDC on first 25K.</t>
  </si>
  <si>
    <t>Federal</t>
  </si>
  <si>
    <t>Nanolab</t>
  </si>
  <si>
    <t>Specialist, VI</t>
  </si>
  <si>
    <t>Specialist, VII</t>
  </si>
  <si>
    <t>Specialist, VIII</t>
  </si>
  <si>
    <t>Specialist, IX</t>
  </si>
  <si>
    <t>Assistant Research I, (non-eng)</t>
  </si>
  <si>
    <t>Assistant Research, II (non-eng)</t>
  </si>
  <si>
    <t>Assistant Research, III (non-eng)</t>
  </si>
  <si>
    <t>Assistant Research, IV (non-eng)</t>
  </si>
  <si>
    <t>Assistant Research, V (non-eng)</t>
  </si>
  <si>
    <t>Assistant Research, VI (non-eng)</t>
  </si>
  <si>
    <t>Associate Research, I (non-eng)</t>
  </si>
  <si>
    <t>Associate Research, II (non-eng)</t>
  </si>
  <si>
    <t>Associate Research, III (non-eng)</t>
  </si>
  <si>
    <t>Associate Research, IV (non-eng)</t>
  </si>
  <si>
    <t>Associate Research, V (non-eng)</t>
  </si>
  <si>
    <t>Research, I (non-eng)</t>
  </si>
  <si>
    <t>Research, II (non-eng)</t>
  </si>
  <si>
    <t>Research, III (non-eng)</t>
  </si>
  <si>
    <t>Research, IV (non-eng)</t>
  </si>
  <si>
    <t xml:space="preserve">Research Engineer, IV </t>
  </si>
  <si>
    <t>Research, V (non-eng)</t>
  </si>
  <si>
    <t>Research, VI (non-eng)</t>
  </si>
  <si>
    <t>Research, VII (non-eng)</t>
  </si>
  <si>
    <t>Research, VIII (non-eng)</t>
  </si>
  <si>
    <t>Research, IX (non-eng)</t>
  </si>
  <si>
    <t>Assistant Research</t>
  </si>
  <si>
    <t>Associate Research</t>
  </si>
  <si>
    <t>Research</t>
  </si>
  <si>
    <t>FY30E</t>
  </si>
  <si>
    <t>Anderson, Chris</t>
  </si>
  <si>
    <t>Blitz,Leo</t>
  </si>
  <si>
    <t>Boles, Jessica</t>
  </si>
  <si>
    <t>Briceno,Raul</t>
  </si>
  <si>
    <t>Chien,Jun-Chau</t>
  </si>
  <si>
    <t>Christ, Michael</t>
  </si>
  <si>
    <t>Cui, Ying</t>
  </si>
  <si>
    <t>Giordano,Ryan</t>
  </si>
  <si>
    <t>Hallal,Mohamad</t>
  </si>
  <si>
    <t>Kanazawa,Angjoo</t>
  </si>
  <si>
    <t>Khanna,Preeya</t>
  </si>
  <si>
    <t>Klass,Michael</t>
  </si>
  <si>
    <t>Kolkowitz,Shimon</t>
  </si>
  <si>
    <t>Ma,Eric</t>
  </si>
  <si>
    <t>Reddie,Andrew</t>
  </si>
  <si>
    <t>Schutzius,Thomas</t>
  </si>
  <si>
    <t>Shao,Sophia</t>
  </si>
  <si>
    <t>Su,Guanyu</t>
  </si>
  <si>
    <t>Vobis,Yasmin</t>
  </si>
  <si>
    <t>Wieser,Penny</t>
  </si>
  <si>
    <t>Yan,Lisa</t>
  </si>
  <si>
    <t>Zaharia,Matei</t>
  </si>
  <si>
    <t>Zhivotovski,Nikita</t>
  </si>
  <si>
    <t>Zhu,Weiqiang</t>
  </si>
  <si>
    <t xml:space="preserve">Postdoctoral Scholar-Employee Salary (min) </t>
  </si>
  <si>
    <t>*Postdoctoral Researchers (Postdocs) effective 10/1/23 and annually 10/1</t>
  </si>
  <si>
    <t>* Budget template accounts for hire date and experience level escalations which are not straight line escalations</t>
  </si>
  <si>
    <t>**Graduate Student Researchers (GSRs) effective 10/1/23 and annually 10/1</t>
  </si>
  <si>
    <t>** Graduate Students advance one step each year of GSR experience or equivalency until Step III is reached, then straightline 6..4% escalations occur.</t>
  </si>
  <si>
    <t>Instructional R &amp; E Fee</t>
  </si>
  <si>
    <t>8) Effective Fall 2023 GSRs appointed at 25% or above will receive full tuition and fee remission. No more partial fee remissions. Either none if below 25% or all.</t>
  </si>
  <si>
    <t>https://spo.berkeley.edu/policy/benefits/benefits.html</t>
  </si>
  <si>
    <t>2030-2031</t>
  </si>
  <si>
    <t>2031-2032</t>
  </si>
  <si>
    <t>FY31</t>
  </si>
  <si>
    <t>FY31R</t>
  </si>
  <si>
    <t>FY31E</t>
  </si>
  <si>
    <t>FY32R</t>
  </si>
  <si>
    <t>FY32</t>
  </si>
  <si>
    <t xml:space="preserve">GSR Salary Rates: </t>
  </si>
  <si>
    <t>Effective 10/28</t>
  </si>
  <si>
    <t>Alaa,Ahmed</t>
  </si>
  <si>
    <t>Bickel,Peter</t>
  </si>
  <si>
    <t>Bishop, James</t>
  </si>
  <si>
    <t>Borgs,Christian</t>
  </si>
  <si>
    <t>Bucholz, Maximilian</t>
  </si>
  <si>
    <t>Ceferino-Rojas, Luis</t>
  </si>
  <si>
    <t>Chen,Irene</t>
  </si>
  <si>
    <t>Chornck, Ryan</t>
  </si>
  <si>
    <t>D'Odorico, Paolo</t>
  </si>
  <si>
    <t>Fletcher, Christopher</t>
  </si>
  <si>
    <t>Forrest, aaron</t>
  </si>
  <si>
    <t>Galvez,Liz</t>
  </si>
  <si>
    <t>Guthrie, Leah</t>
  </si>
  <si>
    <t>Iliesiu, Luca</t>
  </si>
  <si>
    <t>Jitomirskaya,Svetlana</t>
  </si>
  <si>
    <t>Kamrin,Kenneth</t>
  </si>
  <si>
    <t>Larson,Hannah</t>
  </si>
  <si>
    <t>Lee,Edward</t>
  </si>
  <si>
    <t>Liang, Lu</t>
  </si>
  <si>
    <t>Marks,Andrew</t>
  </si>
  <si>
    <t>McKee, Christopher</t>
  </si>
  <si>
    <t>Mehr, Negar</t>
  </si>
  <si>
    <t>Opabola, Eyitayo</t>
  </si>
  <si>
    <t>Siefman, Daniel</t>
  </si>
  <si>
    <t>Suhr,Alane</t>
  </si>
  <si>
    <t>Teytelboym, Alexander</t>
  </si>
  <si>
    <t>Willsey, Max</t>
  </si>
  <si>
    <t>Yala,Adam</t>
  </si>
  <si>
    <t>Yan,Chiwei</t>
  </si>
  <si>
    <t>Yao, Lining</t>
  </si>
  <si>
    <t>Zekkos,Adda</t>
  </si>
  <si>
    <t>Other Academic Staff Title (eg. Project Scientist)</t>
  </si>
  <si>
    <t>Investigator:</t>
  </si>
  <si>
    <t xml:space="preserve">Dates: </t>
  </si>
  <si>
    <t>BUDGET:</t>
  </si>
  <si>
    <t>Industry Budget</t>
  </si>
  <si>
    <t>Company:</t>
  </si>
  <si>
    <t>Project Title:</t>
  </si>
  <si>
    <t>CATEGORY</t>
  </si>
  <si>
    <t>Period 3</t>
  </si>
  <si>
    <t>Period 4</t>
  </si>
  <si>
    <t>Period 5</t>
  </si>
  <si>
    <r>
      <t xml:space="preserve">PERSONNEL: </t>
    </r>
    <r>
      <rPr>
        <b/>
        <i/>
        <sz val="11"/>
        <color theme="1"/>
        <rFont val="Calibri"/>
        <family val="2"/>
        <scheme val="minor"/>
      </rPr>
      <t>Salary / Benefits</t>
    </r>
  </si>
  <si>
    <t>SUBCONTRACTS</t>
  </si>
  <si>
    <t>OTHER</t>
  </si>
  <si>
    <t>TOTAL COSTS</t>
  </si>
  <si>
    <t>DIRECT COSTS</t>
  </si>
  <si>
    <t>IDC COSTS</t>
  </si>
  <si>
    <t>TOTAL INDIRECT COSTS</t>
  </si>
  <si>
    <t>Industry Sponsor:</t>
  </si>
  <si>
    <t>On Campus Rate to 7/1//22-6/30/24 and until further notice</t>
  </si>
  <si>
    <t>Table 22 GSR SALARY RATES 10/1/24</t>
  </si>
  <si>
    <t>As of 10/1/24</t>
  </si>
  <si>
    <t>Professional Research Series- Fiscal Year Table 14B as of 7/1/24</t>
  </si>
  <si>
    <t>Specialist Series Table 24B as of 7/1/24</t>
  </si>
  <si>
    <t>Professional Research Series- Fiscal Year Table 13B as of 7/1/24 (Non-Engineering)</t>
  </si>
  <si>
    <t>FY29-FY42</t>
  </si>
  <si>
    <t>UCB Composite Benefit Rates (effective 4/10/2024)</t>
  </si>
  <si>
    <t>Analitis, James</t>
  </si>
  <si>
    <t>Cao, Yuan</t>
  </si>
  <si>
    <t>Coston,Amanda</t>
  </si>
  <si>
    <t>Davenport,Diag</t>
  </si>
  <si>
    <t>Douglas, Madison</t>
  </si>
  <si>
    <t>Gaetz,Christian</t>
  </si>
  <si>
    <t>Jia,Huiwen</t>
  </si>
  <si>
    <t>Kirchstetter,Thomas</t>
  </si>
  <si>
    <t>Macdonald,Francis</t>
  </si>
  <si>
    <t>Manthripragada,Ajay</t>
  </si>
  <si>
    <t>Marshall,Charles</t>
  </si>
  <si>
    <t>Metcalf,Ben</t>
  </si>
  <si>
    <t>Meyer,Eric</t>
  </si>
  <si>
    <t>Norouzi, Narges</t>
  </si>
  <si>
    <t>Nuzzo,Pierluigi</t>
  </si>
  <si>
    <t>Richards,Mark</t>
  </si>
  <si>
    <t>Rubinsky,Boris</t>
  </si>
  <si>
    <t>Southworth,Michael</t>
  </si>
  <si>
    <t>Subramanian,Sandya</t>
  </si>
  <si>
    <t>Tangherlini,Tim</t>
  </si>
  <si>
    <t>Tidwell,Philip</t>
  </si>
  <si>
    <t>Tubman,Eleanor</t>
  </si>
  <si>
    <t>Weber,Ramon</t>
  </si>
  <si>
    <t>Wenk,Hans</t>
  </si>
  <si>
    <t>Wu,Manxi</t>
  </si>
  <si>
    <t>PARTICIPANT/TRAINEE SUPPORT</t>
  </si>
  <si>
    <t>PUBLICATIONS</t>
  </si>
  <si>
    <t>TUITION</t>
  </si>
  <si>
    <t>COMPUTER SERVICES</t>
  </si>
  <si>
    <t>GAEL</t>
  </si>
  <si>
    <t>2032-2033</t>
  </si>
  <si>
    <t>FY32E</t>
  </si>
  <si>
    <t>FY33R</t>
  </si>
  <si>
    <r>
      <t xml:space="preserve">Select either </t>
    </r>
    <r>
      <rPr>
        <b/>
        <sz val="10"/>
        <rFont val="Arial"/>
        <family val="2"/>
      </rPr>
      <t xml:space="preserve">Modified Total Direct Costs, Total Costs </t>
    </r>
    <r>
      <rPr>
        <sz val="10"/>
        <rFont val="Arial"/>
        <family val="2"/>
      </rPr>
      <t xml:space="preserve">or </t>
    </r>
    <r>
      <rPr>
        <b/>
        <sz val="10"/>
        <rFont val="Arial"/>
        <family val="2"/>
      </rPr>
      <t>Total Direct Costs.</t>
    </r>
  </si>
  <si>
    <t xml:space="preserve">the pick list. </t>
  </si>
  <si>
    <t>Select Y or N to whether a UC Subaward or not. Enter name and amount for</t>
  </si>
  <si>
    <t>each year of budget. IDC will autocalculate. There is an assumption that each</t>
  </si>
  <si>
    <t>subaward is at least 25K or more built into formula.</t>
  </si>
  <si>
    <t>Effective 10/29</t>
  </si>
  <si>
    <t>* Change IDC rate to Other Rate and insert 35% on Reference tab for auto calculation of IDC</t>
  </si>
  <si>
    <t>( F&amp;A Rate signed effective 4/10/24  and until further notice.)</t>
  </si>
  <si>
    <r>
      <t>Limited (</t>
    </r>
    <r>
      <rPr>
        <b/>
        <sz val="11"/>
        <color rgb="FF333333"/>
        <rFont val="Arial"/>
        <family val="2"/>
      </rPr>
      <t>includes Postdocs</t>
    </r>
    <r>
      <rPr>
        <sz val="11"/>
        <color rgb="FF333333"/>
        <rFont val="Arial"/>
        <family val="2"/>
      </rPr>
      <t>)</t>
    </r>
  </si>
  <si>
    <t>Blue = manual entry of numbers, text or percentages.</t>
  </si>
  <si>
    <t>Green = automatic population.</t>
  </si>
  <si>
    <t>Yellow = pick list to choose from.</t>
  </si>
  <si>
    <t>direct costs or modified total direct costs or total costs.</t>
  </si>
  <si>
    <t>This will default to Federal. You can select Non-Federal and</t>
  </si>
  <si>
    <t>Enter the  number of students and then select Step from</t>
  </si>
  <si>
    <t xml:space="preserve">Salary is escalated at 6.4% each </t>
  </si>
  <si>
    <t xml:space="preserve">Is there a departmental % limit such as M which restricts earnings to </t>
  </si>
  <si>
    <t>50% academic or summer.)</t>
  </si>
  <si>
    <t xml:space="preserve">categories in the left margin in blue. </t>
  </si>
  <si>
    <t>AB20 &amp; Industry Template</t>
  </si>
  <si>
    <t>These two templates autopopulate from the main budget template.</t>
  </si>
  <si>
    <t>Upload a pdf of the Industry Tab in Phoebe as a separate file.</t>
  </si>
  <si>
    <t>Ver.14.6 3/25</t>
  </si>
  <si>
    <t xml:space="preserve">           FY26 -FY28</t>
  </si>
  <si>
    <t xml:space="preserve">Recall Faculty receive the Limited CBR for first year, then No Benefit Eligility rate after first year. Template defaults to the hire rate. </t>
  </si>
  <si>
    <t>NIH Salary Cap for awards 1/1/25 and later:</t>
  </si>
  <si>
    <t>$225,700 per annum for 12 month appt.</t>
  </si>
  <si>
    <t>$169,275 per annum for 9 month appt.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</si>
</sst>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&quot;$&quot;#,##0"/>
    <numFmt numFmtId="167" formatCode="0.0"/>
    <numFmt numFmtId="168" formatCode="[$-409]mmmm\-yy;@"/>
    <numFmt numFmtId="169" formatCode="[$-409]mmmm\ d\,\ yyyy;@"/>
    <numFmt numFmtId="170" formatCode="m/d/yy;@"/>
    <numFmt numFmtId="171" formatCode="#,##0.0000"/>
    <numFmt numFmtId="172" formatCode="0.000"/>
    <numFmt numFmtId="173" formatCode="_(&quot;$&quot;* #,##0_);_(&quot;$&quot;* \(#,##0\);_(&quot;$&quot;* &quot;-&quot;??_);_(@_)"/>
    <numFmt numFmtId="174" formatCode="0.0000000000%"/>
    <numFmt numFmtId="175" formatCode="&quot;$&quot;#,##0.00;\(&quot;$&quot;#,##0.00\)"/>
    <numFmt numFmtId="176" formatCode="0;\-0;;@"/>
    <numFmt numFmtId="177" formatCode="0.0000"/>
    <numFmt numFmtId="178" formatCode="mm\.dd\.yyyy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i/>
      <sz val="10"/>
      <color indexed="12"/>
      <name val="Arial"/>
      <family val="2"/>
    </font>
    <font>
      <sz val="10"/>
      <name val="Arial Black"/>
      <family val="2"/>
    </font>
    <font>
      <i/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8"/>
      <color indexed="23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i/>
      <sz val="9"/>
      <name val="Arial"/>
      <family val="2"/>
    </font>
    <font>
      <sz val="10"/>
      <name val="Arial"/>
      <family val="2"/>
    </font>
    <font>
      <sz val="18"/>
      <name val="Calibri"/>
      <family val="2"/>
      <scheme val="minor"/>
    </font>
    <font>
      <sz val="10"/>
      <color theme="0"/>
      <name val="Arial"/>
      <family val="2"/>
    </font>
    <font>
      <sz val="8"/>
      <color rgb="FFCCFFCC"/>
      <name val="Arial"/>
      <family val="2"/>
    </font>
    <font>
      <sz val="10"/>
      <color rgb="FFCCFFCC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8"/>
      <color rgb="FF002060"/>
      <name val="Arial"/>
      <family val="2"/>
    </font>
    <font>
      <b/>
      <sz val="9"/>
      <color theme="2" tint="-0.749992370372631"/>
      <name val="Arial"/>
      <family val="2"/>
    </font>
    <font>
      <sz val="8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8"/>
      <color rgb="FFA9D08E"/>
      <name val="Arial"/>
      <family val="2"/>
    </font>
    <font>
      <sz val="10"/>
      <color rgb="FFA9D08E"/>
      <name val="Arial"/>
      <family val="2"/>
    </font>
    <font>
      <b/>
      <sz val="10"/>
      <color rgb="FFA9D08E"/>
      <name val="Arial"/>
      <family val="2"/>
    </font>
    <font>
      <b/>
      <i/>
      <sz val="10"/>
      <color theme="3" tint="0.39997558519241921"/>
      <name val="Arial"/>
      <family val="2"/>
    </font>
    <font>
      <u/>
      <sz val="10"/>
      <color theme="10"/>
      <name val="Arial"/>
      <family val="2"/>
    </font>
    <font>
      <b/>
      <sz val="7"/>
      <name val="Arial"/>
      <family val="2"/>
    </font>
    <font>
      <i/>
      <u/>
      <sz val="10"/>
      <color theme="10"/>
      <name val="Arial"/>
      <family val="2"/>
    </font>
    <font>
      <sz val="8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rgb="FFA9D08E"/>
      <name val="Arial"/>
      <family val="2"/>
    </font>
    <font>
      <b/>
      <i/>
      <sz val="12"/>
      <color theme="1"/>
      <name val="Calibri"/>
      <family val="2"/>
      <scheme val="minor"/>
    </font>
    <font>
      <b/>
      <sz val="12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b/>
      <sz val="11"/>
      <color rgb="FF000000"/>
      <name val="Aptos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Aptos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101"/>
      <name val="Arial"/>
      <family val="2"/>
    </font>
    <font>
      <sz val="10"/>
      <color rgb="FF000101"/>
      <name val="Arial"/>
      <family val="2"/>
    </font>
    <font>
      <b/>
      <sz val="11"/>
      <color rgb="FF000101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0"/>
      <color rgb="FF33333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BE2D1"/>
        <bgColor indexed="64"/>
      </patternFill>
    </fill>
    <fill>
      <patternFill patternType="solid">
        <fgColor rgb="FFFFF0C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3" fillId="0" borderId="0" xfId="0" applyFont="1"/>
    <xf numFmtId="0" fontId="0" fillId="0" borderId="3" xfId="0" applyBorder="1"/>
    <xf numFmtId="0" fontId="5" fillId="0" borderId="4" xfId="0" applyFont="1" applyBorder="1"/>
    <xf numFmtId="0" fontId="5" fillId="0" borderId="5" xfId="0" applyFont="1" applyBorder="1"/>
    <xf numFmtId="0" fontId="0" fillId="0" borderId="5" xfId="0" applyBorder="1"/>
    <xf numFmtId="0" fontId="2" fillId="0" borderId="0" xfId="0" applyFont="1"/>
    <xf numFmtId="4" fontId="2" fillId="0" borderId="0" xfId="0" applyNumberFormat="1" applyFont="1"/>
    <xf numFmtId="10" fontId="2" fillId="0" borderId="0" xfId="0" applyNumberFormat="1" applyFont="1"/>
    <xf numFmtId="3" fontId="0" fillId="0" borderId="6" xfId="0" applyNumberFormat="1" applyBorder="1"/>
    <xf numFmtId="3" fontId="5" fillId="0" borderId="6" xfId="0" applyNumberFormat="1" applyFont="1" applyBorder="1"/>
    <xf numFmtId="3" fontId="2" fillId="0" borderId="6" xfId="0" applyNumberFormat="1" applyFont="1" applyBorder="1"/>
    <xf numFmtId="3" fontId="0" fillId="0" borderId="0" xfId="0" applyNumberFormat="1"/>
    <xf numFmtId="0" fontId="4" fillId="0" borderId="0" xfId="0" applyFont="1"/>
    <xf numFmtId="0" fontId="5" fillId="0" borderId="3" xfId="0" applyFont="1" applyBorder="1"/>
    <xf numFmtId="0" fontId="4" fillId="0" borderId="0" xfId="0" applyFont="1" applyAlignment="1">
      <alignment horizontal="right"/>
    </xf>
    <xf numFmtId="0" fontId="4" fillId="0" borderId="3" xfId="0" applyFont="1" applyBorder="1"/>
    <xf numFmtId="0" fontId="0" fillId="0" borderId="6" xfId="0" applyBorder="1"/>
    <xf numFmtId="0" fontId="0" fillId="0" borderId="7" xfId="0" applyBorder="1"/>
    <xf numFmtId="0" fontId="5" fillId="0" borderId="0" xfId="0" applyFont="1"/>
    <xf numFmtId="0" fontId="0" fillId="0" borderId="8" xfId="0" applyBorder="1"/>
    <xf numFmtId="3" fontId="7" fillId="0" borderId="6" xfId="0" applyNumberFormat="1" applyFont="1" applyBorder="1"/>
    <xf numFmtId="0" fontId="8" fillId="0" borderId="0" xfId="0" applyFont="1"/>
    <xf numFmtId="165" fontId="2" fillId="0" borderId="0" xfId="0" applyNumberFormat="1" applyFont="1"/>
    <xf numFmtId="165" fontId="8" fillId="0" borderId="0" xfId="0" applyNumberFormat="1" applyFont="1"/>
    <xf numFmtId="3" fontId="8" fillId="0" borderId="6" xfId="0" applyNumberFormat="1" applyFont="1" applyBorder="1"/>
    <xf numFmtId="166" fontId="8" fillId="0" borderId="0" xfId="0" applyNumberFormat="1" applyFont="1"/>
    <xf numFmtId="0" fontId="7" fillId="0" borderId="0" xfId="0" applyFont="1"/>
    <xf numFmtId="0" fontId="8" fillId="0" borderId="6" xfId="0" applyFont="1" applyBorder="1"/>
    <xf numFmtId="0" fontId="8" fillId="0" borderId="1" xfId="0" applyFont="1" applyBorder="1"/>
    <xf numFmtId="0" fontId="8" fillId="0" borderId="9" xfId="0" applyFont="1" applyBorder="1"/>
    <xf numFmtId="2" fontId="2" fillId="0" borderId="0" xfId="0" applyNumberFormat="1" applyFont="1"/>
    <xf numFmtId="0" fontId="0" fillId="2" borderId="0" xfId="0" applyFill="1"/>
    <xf numFmtId="0" fontId="0" fillId="2" borderId="16" xfId="0" applyFill="1" applyBorder="1"/>
    <xf numFmtId="0" fontId="0" fillId="0" borderId="1" xfId="0" applyBorder="1"/>
    <xf numFmtId="0" fontId="2" fillId="0" borderId="0" xfId="1"/>
    <xf numFmtId="168" fontId="11" fillId="3" borderId="0" xfId="0" applyNumberFormat="1" applyFont="1" applyFill="1"/>
    <xf numFmtId="0" fontId="11" fillId="3" borderId="0" xfId="0" applyFont="1" applyFill="1"/>
    <xf numFmtId="8" fontId="0" fillId="0" borderId="0" xfId="0" applyNumberFormat="1"/>
    <xf numFmtId="0" fontId="10" fillId="0" borderId="1" xfId="1" applyFont="1" applyBorder="1"/>
    <xf numFmtId="0" fontId="14" fillId="0" borderId="0" xfId="0" applyFont="1"/>
    <xf numFmtId="3" fontId="2" fillId="0" borderId="0" xfId="0" applyNumberFormat="1" applyFont="1"/>
    <xf numFmtId="166" fontId="4" fillId="0" borderId="0" xfId="0" applyNumberFormat="1" applyFont="1" applyAlignment="1">
      <alignment horizontal="right"/>
    </xf>
    <xf numFmtId="166" fontId="4" fillId="0" borderId="0" xfId="0" applyNumberFormat="1" applyFont="1"/>
    <xf numFmtId="6" fontId="4" fillId="0" borderId="0" xfId="0" applyNumberFormat="1" applyFont="1"/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0" fillId="0" borderId="12" xfId="0" applyBorder="1"/>
    <xf numFmtId="0" fontId="17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5" fillId="0" borderId="10" xfId="0" applyFont="1" applyBorder="1"/>
    <xf numFmtId="0" fontId="5" fillId="0" borderId="7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3" fontId="17" fillId="0" borderId="6" xfId="0" applyNumberFormat="1" applyFont="1" applyBorder="1"/>
    <xf numFmtId="0" fontId="17" fillId="0" borderId="0" xfId="0" applyFont="1"/>
    <xf numFmtId="0" fontId="6" fillId="0" borderId="0" xfId="0" applyFont="1"/>
    <xf numFmtId="0" fontId="2" fillId="0" borderId="0" xfId="1" applyAlignment="1">
      <alignment horizontal="right"/>
    </xf>
    <xf numFmtId="8" fontId="5" fillId="0" borderId="0" xfId="1" applyNumberFormat="1" applyFont="1"/>
    <xf numFmtId="8" fontId="2" fillId="0" borderId="0" xfId="1" applyNumberFormat="1"/>
    <xf numFmtId="8" fontId="19" fillId="0" borderId="0" xfId="1" applyNumberFormat="1" applyFont="1"/>
    <xf numFmtId="8" fontId="18" fillId="0" borderId="0" xfId="1" applyNumberFormat="1" applyFont="1"/>
    <xf numFmtId="8" fontId="14" fillId="0" borderId="0" xfId="1" applyNumberFormat="1" applyFont="1"/>
    <xf numFmtId="0" fontId="19" fillId="0" borderId="0" xfId="0" applyFont="1"/>
    <xf numFmtId="0" fontId="14" fillId="0" borderId="0" xfId="1" applyFont="1"/>
    <xf numFmtId="4" fontId="0" fillId="0" borderId="0" xfId="0" applyNumberFormat="1"/>
    <xf numFmtId="3" fontId="4" fillId="0" borderId="6" xfId="0" applyNumberFormat="1" applyFont="1" applyBorder="1"/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4" fillId="0" borderId="1" xfId="0" applyFont="1" applyBorder="1"/>
    <xf numFmtId="166" fontId="4" fillId="0" borderId="1" xfId="0" applyNumberFormat="1" applyFont="1" applyBorder="1"/>
    <xf numFmtId="0" fontId="0" fillId="0" borderId="28" xfId="0" applyBorder="1"/>
    <xf numFmtId="0" fontId="8" fillId="0" borderId="35" xfId="0" applyFont="1" applyBorder="1"/>
    <xf numFmtId="0" fontId="4" fillId="0" borderId="35" xfId="0" applyFont="1" applyBorder="1"/>
    <xf numFmtId="166" fontId="4" fillId="0" borderId="35" xfId="0" applyNumberFormat="1" applyFont="1" applyBorder="1"/>
    <xf numFmtId="0" fontId="8" fillId="0" borderId="36" xfId="0" applyFont="1" applyBorder="1"/>
    <xf numFmtId="0" fontId="6" fillId="0" borderId="6" xfId="0" applyFont="1" applyBorder="1"/>
    <xf numFmtId="0" fontId="0" fillId="2" borderId="37" xfId="0" applyFill="1" applyBorder="1"/>
    <xf numFmtId="0" fontId="0" fillId="2" borderId="35" xfId="0" applyFill="1" applyBorder="1"/>
    <xf numFmtId="0" fontId="20" fillId="2" borderId="38" xfId="0" applyFont="1" applyFill="1" applyBorder="1"/>
    <xf numFmtId="0" fontId="0" fillId="2" borderId="14" xfId="0" applyFill="1" applyBorder="1"/>
    <xf numFmtId="0" fontId="20" fillId="2" borderId="13" xfId="0" applyFont="1" applyFill="1" applyBorder="1"/>
    <xf numFmtId="0" fontId="0" fillId="2" borderId="17" xfId="0" applyFill="1" applyBorder="1"/>
    <xf numFmtId="0" fontId="20" fillId="2" borderId="15" xfId="0" applyFont="1" applyFill="1" applyBorder="1"/>
    <xf numFmtId="0" fontId="23" fillId="0" borderId="0" xfId="0" applyFont="1"/>
    <xf numFmtId="0" fontId="20" fillId="2" borderId="0" xfId="0" applyFont="1" applyFill="1"/>
    <xf numFmtId="0" fontId="20" fillId="2" borderId="16" xfId="0" applyFont="1" applyFill="1" applyBorder="1"/>
    <xf numFmtId="0" fontId="10" fillId="0" borderId="0" xfId="0" applyFont="1"/>
    <xf numFmtId="0" fontId="9" fillId="0" borderId="1" xfId="0" applyFont="1" applyBorder="1"/>
    <xf numFmtId="0" fontId="0" fillId="0" borderId="0" xfId="0" applyProtection="1">
      <protection locked="0"/>
    </xf>
    <xf numFmtId="4" fontId="0" fillId="0" borderId="6" xfId="0" applyNumberFormat="1" applyBorder="1"/>
    <xf numFmtId="0" fontId="0" fillId="0" borderId="9" xfId="0" applyBorder="1"/>
    <xf numFmtId="171" fontId="0" fillId="0" borderId="6" xfId="0" applyNumberFormat="1" applyBorder="1"/>
    <xf numFmtId="0" fontId="26" fillId="0" borderId="0" xfId="0" applyFont="1"/>
    <xf numFmtId="0" fontId="25" fillId="0" borderId="0" xfId="0" applyFont="1"/>
    <xf numFmtId="0" fontId="9" fillId="0" borderId="0" xfId="0" applyFont="1"/>
    <xf numFmtId="0" fontId="27" fillId="0" borderId="0" xfId="0" applyFont="1"/>
    <xf numFmtId="172" fontId="27" fillId="0" borderId="0" xfId="0" applyNumberFormat="1" applyFont="1"/>
    <xf numFmtId="0" fontId="28" fillId="0" borderId="5" xfId="0" applyFont="1" applyBorder="1"/>
    <xf numFmtId="14" fontId="0" fillId="0" borderId="0" xfId="0" applyNumberFormat="1"/>
    <xf numFmtId="13" fontId="0" fillId="0" borderId="0" xfId="0" applyNumberFormat="1"/>
    <xf numFmtId="2" fontId="0" fillId="0" borderId="0" xfId="0" applyNumberFormat="1"/>
    <xf numFmtId="10" fontId="0" fillId="0" borderId="0" xfId="0" applyNumberFormat="1"/>
    <xf numFmtId="0" fontId="8" fillId="0" borderId="0" xfId="0" applyFont="1" applyAlignment="1">
      <alignment wrapText="1"/>
    </xf>
    <xf numFmtId="1" fontId="8" fillId="0" borderId="0" xfId="0" applyNumberFormat="1" applyFont="1"/>
    <xf numFmtId="9" fontId="17" fillId="0" borderId="0" xfId="0" applyNumberFormat="1" applyFont="1"/>
    <xf numFmtId="0" fontId="17" fillId="0" borderId="5" xfId="0" applyFont="1" applyBorder="1"/>
    <xf numFmtId="0" fontId="17" fillId="0" borderId="8" xfId="0" applyFont="1" applyBorder="1"/>
    <xf numFmtId="171" fontId="17" fillId="0" borderId="6" xfId="0" applyNumberFormat="1" applyFont="1" applyBorder="1"/>
    <xf numFmtId="4" fontId="17" fillId="0" borderId="6" xfId="0" applyNumberFormat="1" applyFont="1" applyBorder="1"/>
    <xf numFmtId="0" fontId="5" fillId="0" borderId="9" xfId="0" applyFont="1" applyBorder="1"/>
    <xf numFmtId="0" fontId="2" fillId="0" borderId="0" xfId="0" applyFont="1" applyAlignment="1">
      <alignment horizontal="right"/>
    </xf>
    <xf numFmtId="3" fontId="5" fillId="0" borderId="7" xfId="0" applyNumberFormat="1" applyFont="1" applyBorder="1"/>
    <xf numFmtId="3" fontId="2" fillId="0" borderId="6" xfId="0" applyNumberFormat="1" applyFont="1" applyBorder="1" applyAlignment="1">
      <alignment horizontal="right"/>
    </xf>
    <xf numFmtId="3" fontId="8" fillId="0" borderId="9" xfId="0" applyNumberFormat="1" applyFont="1" applyBorder="1"/>
    <xf numFmtId="3" fontId="8" fillId="0" borderId="36" xfId="0" applyNumberFormat="1" applyFont="1" applyBorder="1"/>
    <xf numFmtId="3" fontId="0" fillId="0" borderId="7" xfId="0" applyNumberFormat="1" applyBorder="1"/>
    <xf numFmtId="0" fontId="2" fillId="0" borderId="0" xfId="0" applyFont="1" applyProtection="1">
      <protection locked="0"/>
    </xf>
    <xf numFmtId="14" fontId="2" fillId="0" borderId="0" xfId="0" applyNumberFormat="1" applyFont="1"/>
    <xf numFmtId="9" fontId="2" fillId="0" borderId="0" xfId="2" applyFill="1" applyBorder="1"/>
    <xf numFmtId="0" fontId="5" fillId="0" borderId="0" xfId="1" applyFont="1"/>
    <xf numFmtId="0" fontId="5" fillId="0" borderId="13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5" fillId="0" borderId="33" xfId="0" applyFont="1" applyBorder="1"/>
    <xf numFmtId="0" fontId="5" fillId="0" borderId="43" xfId="0" applyFont="1" applyBorder="1" applyAlignment="1">
      <alignment horizontal="center"/>
    </xf>
    <xf numFmtId="0" fontId="0" fillId="0" borderId="13" xfId="0" applyBorder="1"/>
    <xf numFmtId="0" fontId="5" fillId="0" borderId="6" xfId="0" applyFont="1" applyBorder="1"/>
    <xf numFmtId="0" fontId="5" fillId="0" borderId="44" xfId="0" applyFont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0" fillId="0" borderId="48" xfId="0" applyBorder="1"/>
    <xf numFmtId="0" fontId="0" fillId="0" borderId="2" xfId="0" applyBorder="1"/>
    <xf numFmtId="0" fontId="0" fillId="0" borderId="32" xfId="0" applyBorder="1"/>
    <xf numFmtId="44" fontId="0" fillId="0" borderId="18" xfId="0" applyNumberFormat="1" applyBorder="1"/>
    <xf numFmtId="44" fontId="0" fillId="0" borderId="49" xfId="0" applyNumberFormat="1" applyBorder="1"/>
    <xf numFmtId="0" fontId="2" fillId="0" borderId="48" xfId="0" applyFont="1" applyBorder="1"/>
    <xf numFmtId="0" fontId="33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5" fillId="0" borderId="48" xfId="0" applyFont="1" applyBorder="1"/>
    <xf numFmtId="0" fontId="5" fillId="0" borderId="50" xfId="0" applyFont="1" applyBorder="1"/>
    <xf numFmtId="0" fontId="0" fillId="0" borderId="19" xfId="0" applyBorder="1"/>
    <xf numFmtId="0" fontId="0" fillId="0" borderId="51" xfId="0" applyBorder="1"/>
    <xf numFmtId="0" fontId="13" fillId="0" borderId="6" xfId="0" applyFont="1" applyBorder="1" applyAlignment="1">
      <alignment horizontal="center"/>
    </xf>
    <xf numFmtId="0" fontId="0" fillId="0" borderId="20" xfId="0" applyBorder="1"/>
    <xf numFmtId="0" fontId="0" fillId="0" borderId="44" xfId="0" applyBorder="1"/>
    <xf numFmtId="0" fontId="34" fillId="0" borderId="6" xfId="0" applyFont="1" applyBorder="1" applyAlignment="1">
      <alignment horizontal="center"/>
    </xf>
    <xf numFmtId="0" fontId="5" fillId="0" borderId="2" xfId="0" applyFont="1" applyBorder="1"/>
    <xf numFmtId="0" fontId="5" fillId="0" borderId="32" xfId="0" applyFont="1" applyBorder="1"/>
    <xf numFmtId="0" fontId="0" fillId="4" borderId="49" xfId="0" applyFill="1" applyBorder="1"/>
    <xf numFmtId="0" fontId="0" fillId="4" borderId="55" xfId="0" applyFill="1" applyBorder="1"/>
    <xf numFmtId="44" fontId="0" fillId="0" borderId="57" xfId="0" applyNumberFormat="1" applyBorder="1"/>
    <xf numFmtId="0" fontId="0" fillId="0" borderId="4" xfId="0" applyBorder="1"/>
    <xf numFmtId="0" fontId="0" fillId="4" borderId="58" xfId="0" applyFill="1" applyBorder="1"/>
    <xf numFmtId="42" fontId="5" fillId="0" borderId="20" xfId="0" applyNumberFormat="1" applyFont="1" applyBorder="1"/>
    <xf numFmtId="42" fontId="5" fillId="0" borderId="5" xfId="0" applyNumberFormat="1" applyFont="1" applyBorder="1"/>
    <xf numFmtId="42" fontId="29" fillId="0" borderId="44" xfId="0" applyNumberFormat="1" applyFont="1" applyBorder="1"/>
    <xf numFmtId="42" fontId="0" fillId="0" borderId="18" xfId="0" applyNumberFormat="1" applyBorder="1"/>
    <xf numFmtId="42" fontId="0" fillId="0" borderId="49" xfId="0" applyNumberFormat="1" applyBorder="1"/>
    <xf numFmtId="42" fontId="5" fillId="0" borderId="18" xfId="0" applyNumberFormat="1" applyFont="1" applyBorder="1"/>
    <xf numFmtId="42" fontId="34" fillId="0" borderId="20" xfId="0" applyNumberFormat="1" applyFont="1" applyBorder="1"/>
    <xf numFmtId="42" fontId="34" fillId="0" borderId="5" xfId="0" applyNumberFormat="1" applyFont="1" applyBorder="1"/>
    <xf numFmtId="42" fontId="34" fillId="0" borderId="44" xfId="0" applyNumberFormat="1" applyFont="1" applyBorder="1"/>
    <xf numFmtId="42" fontId="5" fillId="0" borderId="57" xfId="0" applyNumberFormat="1" applyFont="1" applyBorder="1"/>
    <xf numFmtId="42" fontId="5" fillId="0" borderId="56" xfId="0" applyNumberFormat="1" applyFont="1" applyBorder="1"/>
    <xf numFmtId="0" fontId="4" fillId="4" borderId="48" xfId="0" applyFont="1" applyFill="1" applyBorder="1"/>
    <xf numFmtId="0" fontId="4" fillId="4" borderId="2" xfId="0" applyFont="1" applyFill="1" applyBorder="1"/>
    <xf numFmtId="0" fontId="4" fillId="4" borderId="32" xfId="0" applyFont="1" applyFill="1" applyBorder="1" applyAlignment="1">
      <alignment horizontal="center"/>
    </xf>
    <xf numFmtId="42" fontId="4" fillId="4" borderId="18" xfId="0" applyNumberFormat="1" applyFont="1" applyFill="1" applyBorder="1"/>
    <xf numFmtId="42" fontId="4" fillId="4" borderId="57" xfId="0" applyNumberFormat="1" applyFont="1" applyFill="1" applyBorder="1"/>
    <xf numFmtId="42" fontId="4" fillId="4" borderId="49" xfId="0" applyNumberFormat="1" applyFont="1" applyFill="1" applyBorder="1"/>
    <xf numFmtId="42" fontId="2" fillId="0" borderId="18" xfId="0" applyNumberFormat="1" applyFont="1" applyBorder="1"/>
    <xf numFmtId="42" fontId="2" fillId="0" borderId="49" xfId="0" applyNumberFormat="1" applyFont="1" applyBorder="1"/>
    <xf numFmtId="14" fontId="5" fillId="5" borderId="42" xfId="0" applyNumberFormat="1" applyFont="1" applyFill="1" applyBorder="1" applyAlignment="1">
      <alignment horizontal="center"/>
    </xf>
    <xf numFmtId="14" fontId="5" fillId="5" borderId="27" xfId="0" applyNumberFormat="1" applyFont="1" applyFill="1" applyBorder="1" applyAlignment="1">
      <alignment horizontal="center"/>
    </xf>
    <xf numFmtId="14" fontId="5" fillId="5" borderId="20" xfId="0" applyNumberFormat="1" applyFont="1" applyFill="1" applyBorder="1" applyAlignment="1">
      <alignment horizontal="center"/>
    </xf>
    <xf numFmtId="14" fontId="5" fillId="5" borderId="5" xfId="0" applyNumberFormat="1" applyFont="1" applyFill="1" applyBorder="1" applyAlignment="1">
      <alignment horizontal="center"/>
    </xf>
    <xf numFmtId="42" fontId="0" fillId="0" borderId="0" xfId="0" applyNumberFormat="1"/>
    <xf numFmtId="2" fontId="0" fillId="6" borderId="0" xfId="0" applyNumberFormat="1" applyFill="1"/>
    <xf numFmtId="173" fontId="2" fillId="0" borderId="0" xfId="3" applyNumberFormat="1" applyFont="1" applyFill="1" applyBorder="1" applyAlignment="1">
      <alignment horizontal="left" indent="6"/>
    </xf>
    <xf numFmtId="0" fontId="2" fillId="0" borderId="0" xfId="0" applyFont="1" applyAlignment="1">
      <alignment horizontal="left" indent="2"/>
    </xf>
    <xf numFmtId="10" fontId="4" fillId="0" borderId="0" xfId="0" applyNumberFormat="1" applyFont="1"/>
    <xf numFmtId="0" fontId="36" fillId="0" borderId="1" xfId="0" applyFont="1" applyBorder="1"/>
    <xf numFmtId="2" fontId="0" fillId="7" borderId="0" xfId="0" applyNumberFormat="1" applyFill="1"/>
    <xf numFmtId="2" fontId="0" fillId="8" borderId="0" xfId="0" applyNumberFormat="1" applyFill="1"/>
    <xf numFmtId="2" fontId="0" fillId="9" borderId="0" xfId="0" applyNumberFormat="1" applyFill="1"/>
    <xf numFmtId="2" fontId="0" fillId="10" borderId="0" xfId="0" applyNumberFormat="1" applyFill="1"/>
    <xf numFmtId="2" fontId="0" fillId="11" borderId="0" xfId="0" applyNumberFormat="1" applyFill="1"/>
    <xf numFmtId="1" fontId="2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7" fillId="0" borderId="0" xfId="0" applyNumberFormat="1" applyFont="1"/>
    <xf numFmtId="9" fontId="2" fillId="0" borderId="0" xfId="0" applyNumberFormat="1" applyFont="1"/>
    <xf numFmtId="9" fontId="0" fillId="0" borderId="0" xfId="0" applyNumberFormat="1"/>
    <xf numFmtId="174" fontId="0" fillId="0" borderId="0" xfId="0" applyNumberFormat="1"/>
    <xf numFmtId="0" fontId="0" fillId="12" borderId="1" xfId="0" applyFill="1" applyBorder="1"/>
    <xf numFmtId="170" fontId="5" fillId="12" borderId="1" xfId="0" applyNumberFormat="1" applyFont="1" applyFill="1" applyBorder="1"/>
    <xf numFmtId="0" fontId="2" fillId="12" borderId="0" xfId="0" applyFont="1" applyFill="1"/>
    <xf numFmtId="3" fontId="2" fillId="12" borderId="0" xfId="0" applyNumberFormat="1" applyFont="1" applyFill="1"/>
    <xf numFmtId="9" fontId="2" fillId="12" borderId="0" xfId="0" applyNumberFormat="1" applyFont="1" applyFill="1"/>
    <xf numFmtId="0" fontId="4" fillId="12" borderId="0" xfId="0" applyFont="1" applyFill="1" applyAlignment="1">
      <alignment horizontal="left"/>
    </xf>
    <xf numFmtId="0" fontId="4" fillId="12" borderId="1" xfId="0" applyFont="1" applyFill="1" applyBorder="1" applyAlignment="1">
      <alignment horizontal="left"/>
    </xf>
    <xf numFmtId="0" fontId="4" fillId="12" borderId="0" xfId="0" applyFont="1" applyFill="1"/>
    <xf numFmtId="1" fontId="4" fillId="12" borderId="0" xfId="0" applyNumberFormat="1" applyFont="1" applyFill="1"/>
    <xf numFmtId="167" fontId="4" fillId="12" borderId="0" xfId="0" applyNumberFormat="1" applyFont="1" applyFill="1"/>
    <xf numFmtId="0" fontId="0" fillId="12" borderId="0" xfId="0" applyFill="1"/>
    <xf numFmtId="3" fontId="0" fillId="12" borderId="0" xfId="0" applyNumberFormat="1" applyFill="1"/>
    <xf numFmtId="2" fontId="4" fillId="12" borderId="0" xfId="0" applyNumberFormat="1" applyFont="1" applyFill="1"/>
    <xf numFmtId="0" fontId="5" fillId="13" borderId="0" xfId="0" applyFont="1" applyFill="1"/>
    <xf numFmtId="0" fontId="0" fillId="13" borderId="0" xfId="0" applyFill="1"/>
    <xf numFmtId="170" fontId="0" fillId="13" borderId="2" xfId="0" applyNumberFormat="1" applyFill="1" applyBorder="1"/>
    <xf numFmtId="0" fontId="0" fillId="13" borderId="3" xfId="0" applyFill="1" applyBorder="1"/>
    <xf numFmtId="169" fontId="0" fillId="13" borderId="3" xfId="0" applyNumberFormat="1" applyFill="1" applyBorder="1" applyAlignment="1">
      <alignment horizontal="center"/>
    </xf>
    <xf numFmtId="0" fontId="0" fillId="13" borderId="2" xfId="0" applyFill="1" applyBorder="1"/>
    <xf numFmtId="0" fontId="0" fillId="13" borderId="1" xfId="0" applyFill="1" applyBorder="1"/>
    <xf numFmtId="170" fontId="2" fillId="13" borderId="32" xfId="0" applyNumberFormat="1" applyFont="1" applyFill="1" applyBorder="1"/>
    <xf numFmtId="0" fontId="0" fillId="13" borderId="32" xfId="0" applyFill="1" applyBorder="1"/>
    <xf numFmtId="0" fontId="5" fillId="13" borderId="26" xfId="0" applyFont="1" applyFill="1" applyBorder="1"/>
    <xf numFmtId="0" fontId="0" fillId="13" borderId="11" xfId="0" applyFill="1" applyBorder="1"/>
    <xf numFmtId="3" fontId="5" fillId="13" borderId="34" xfId="0" applyNumberFormat="1" applyFont="1" applyFill="1" applyBorder="1"/>
    <xf numFmtId="165" fontId="0" fillId="13" borderId="11" xfId="0" applyNumberFormat="1" applyFill="1" applyBorder="1"/>
    <xf numFmtId="0" fontId="5" fillId="13" borderId="5" xfId="0" applyFont="1" applyFill="1" applyBorder="1"/>
    <xf numFmtId="3" fontId="0" fillId="13" borderId="1" xfId="0" applyNumberFormat="1" applyFill="1" applyBorder="1"/>
    <xf numFmtId="49" fontId="0" fillId="13" borderId="1" xfId="0" applyNumberFormat="1" applyFill="1" applyBorder="1"/>
    <xf numFmtId="3" fontId="0" fillId="13" borderId="2" xfId="0" applyNumberFormat="1" applyFill="1" applyBorder="1"/>
    <xf numFmtId="169" fontId="0" fillId="13" borderId="2" xfId="0" applyNumberFormat="1" applyFill="1" applyBorder="1" applyAlignment="1">
      <alignment horizontal="center"/>
    </xf>
    <xf numFmtId="0" fontId="2" fillId="15" borderId="18" xfId="0" applyFont="1" applyFill="1" applyBorder="1"/>
    <xf numFmtId="0" fontId="2" fillId="15" borderId="4" xfId="0" applyFont="1" applyFill="1" applyBorder="1"/>
    <xf numFmtId="0" fontId="2" fillId="15" borderId="32" xfId="0" applyFont="1" applyFill="1" applyBorder="1"/>
    <xf numFmtId="0" fontId="4" fillId="13" borderId="11" xfId="0" applyFont="1" applyFill="1" applyBorder="1"/>
    <xf numFmtId="3" fontId="0" fillId="13" borderId="0" xfId="0" applyNumberFormat="1" applyFill="1"/>
    <xf numFmtId="3" fontId="2" fillId="14" borderId="0" xfId="0" applyNumberFormat="1" applyFont="1" applyFill="1"/>
    <xf numFmtId="0" fontId="2" fillId="14" borderId="0" xfId="0" applyFont="1" applyFill="1"/>
    <xf numFmtId="0" fontId="5" fillId="14" borderId="5" xfId="0" applyFont="1" applyFill="1" applyBorder="1"/>
    <xf numFmtId="0" fontId="29" fillId="14" borderId="41" xfId="0" applyFont="1" applyFill="1" applyBorder="1"/>
    <xf numFmtId="0" fontId="0" fillId="14" borderId="10" xfId="0" applyFill="1" applyBorder="1"/>
    <xf numFmtId="0" fontId="0" fillId="14" borderId="11" xfId="0" applyFill="1" applyBorder="1"/>
    <xf numFmtId="3" fontId="5" fillId="14" borderId="12" xfId="0" applyNumberFormat="1" applyFont="1" applyFill="1" applyBorder="1"/>
    <xf numFmtId="0" fontId="4" fillId="13" borderId="0" xfId="0" applyFont="1" applyFill="1"/>
    <xf numFmtId="0" fontId="5" fillId="13" borderId="40" xfId="0" applyFont="1" applyFill="1" applyBorder="1"/>
    <xf numFmtId="0" fontId="0" fillId="13" borderId="16" xfId="0" applyFill="1" applyBorder="1"/>
    <xf numFmtId="3" fontId="5" fillId="13" borderId="39" xfId="0" applyNumberFormat="1" applyFont="1" applyFill="1" applyBorder="1"/>
    <xf numFmtId="172" fontId="0" fillId="13" borderId="3" xfId="0" applyNumberFormat="1" applyFill="1" applyBorder="1"/>
    <xf numFmtId="3" fontId="5" fillId="13" borderId="6" xfId="0" applyNumberFormat="1" applyFont="1" applyFill="1" applyBorder="1"/>
    <xf numFmtId="0" fontId="46" fillId="13" borderId="0" xfId="0" applyFont="1" applyFill="1" applyAlignment="1">
      <alignment horizontal="center"/>
    </xf>
    <xf numFmtId="3" fontId="48" fillId="13" borderId="0" xfId="0" applyNumberFormat="1" applyFont="1" applyFill="1"/>
    <xf numFmtId="0" fontId="2" fillId="13" borderId="0" xfId="0" applyFont="1" applyFill="1"/>
    <xf numFmtId="3" fontId="0" fillId="13" borderId="6" xfId="0" applyNumberFormat="1" applyFill="1" applyBorder="1"/>
    <xf numFmtId="0" fontId="41" fillId="13" borderId="5" xfId="0" applyFont="1" applyFill="1" applyBorder="1"/>
    <xf numFmtId="0" fontId="40" fillId="13" borderId="0" xfId="0" applyFont="1" applyFill="1"/>
    <xf numFmtId="3" fontId="47" fillId="13" borderId="0" xfId="0" applyNumberFormat="1" applyFont="1" applyFill="1" applyAlignment="1">
      <alignment horizontal="center"/>
    </xf>
    <xf numFmtId="10" fontId="42" fillId="13" borderId="0" xfId="0" applyNumberFormat="1" applyFont="1" applyFill="1" applyProtection="1">
      <protection locked="0"/>
    </xf>
    <xf numFmtId="13" fontId="42" fillId="13" borderId="0" xfId="0" applyNumberFormat="1" applyFont="1" applyFill="1" applyProtection="1">
      <protection locked="0"/>
    </xf>
    <xf numFmtId="3" fontId="42" fillId="13" borderId="0" xfId="0" applyNumberFormat="1" applyFont="1" applyFill="1" applyProtection="1">
      <protection locked="0"/>
    </xf>
    <xf numFmtId="3" fontId="42" fillId="13" borderId="0" xfId="0" applyNumberFormat="1" applyFont="1" applyFill="1"/>
    <xf numFmtId="0" fontId="42" fillId="13" borderId="6" xfId="0" applyFont="1" applyFill="1" applyBorder="1"/>
    <xf numFmtId="0" fontId="42" fillId="13" borderId="0" xfId="0" applyFont="1" applyFill="1"/>
    <xf numFmtId="3" fontId="41" fillId="13" borderId="6" xfId="0" applyNumberFormat="1" applyFont="1" applyFill="1" applyBorder="1"/>
    <xf numFmtId="0" fontId="43" fillId="13" borderId="5" xfId="0" applyFont="1" applyFill="1" applyBorder="1"/>
    <xf numFmtId="0" fontId="44" fillId="13" borderId="0" xfId="0" applyFont="1" applyFill="1"/>
    <xf numFmtId="10" fontId="45" fillId="13" borderId="0" xfId="0" applyNumberFormat="1" applyFont="1" applyFill="1" applyProtection="1">
      <protection locked="0"/>
    </xf>
    <xf numFmtId="13" fontId="45" fillId="13" borderId="0" xfId="0" applyNumberFormat="1" applyFont="1" applyFill="1" applyProtection="1">
      <protection locked="0"/>
    </xf>
    <xf numFmtId="3" fontId="45" fillId="13" borderId="0" xfId="0" applyNumberFormat="1" applyFont="1" applyFill="1" applyProtection="1">
      <protection locked="0"/>
    </xf>
    <xf numFmtId="3" fontId="45" fillId="13" borderId="0" xfId="0" applyNumberFormat="1" applyFont="1" applyFill="1"/>
    <xf numFmtId="3" fontId="45" fillId="13" borderId="6" xfId="0" applyNumberFormat="1" applyFont="1" applyFill="1" applyBorder="1"/>
    <xf numFmtId="3" fontId="43" fillId="13" borderId="6" xfId="0" applyNumberFormat="1" applyFont="1" applyFill="1" applyBorder="1"/>
    <xf numFmtId="10" fontId="4" fillId="13" borderId="0" xfId="0" applyNumberFormat="1" applyFont="1" applyFill="1"/>
    <xf numFmtId="13" fontId="4" fillId="13" borderId="0" xfId="0" applyNumberFormat="1" applyFont="1" applyFill="1"/>
    <xf numFmtId="3" fontId="4" fillId="13" borderId="0" xfId="0" applyNumberFormat="1" applyFont="1" applyFill="1"/>
    <xf numFmtId="9" fontId="5" fillId="13" borderId="0" xfId="0" applyNumberFormat="1" applyFont="1" applyFill="1"/>
    <xf numFmtId="10" fontId="0" fillId="13" borderId="0" xfId="0" applyNumberFormat="1" applyFill="1"/>
    <xf numFmtId="13" fontId="0" fillId="13" borderId="0" xfId="0" applyNumberFormat="1" applyFill="1" applyProtection="1">
      <protection locked="0"/>
    </xf>
    <xf numFmtId="0" fontId="0" fillId="13" borderId="28" xfId="0" applyFill="1" applyBorder="1"/>
    <xf numFmtId="3" fontId="49" fillId="13" borderId="0" xfId="0" applyNumberFormat="1" applyFont="1" applyFill="1"/>
    <xf numFmtId="10" fontId="50" fillId="13" borderId="0" xfId="0" applyNumberFormat="1" applyFont="1" applyFill="1"/>
    <xf numFmtId="0" fontId="0" fillId="13" borderId="2" xfId="0" applyFill="1" applyBorder="1" applyAlignment="1">
      <alignment horizontal="center"/>
    </xf>
    <xf numFmtId="0" fontId="5" fillId="13" borderId="10" xfId="0" applyFont="1" applyFill="1" applyBorder="1"/>
    <xf numFmtId="3" fontId="5" fillId="13" borderId="12" xfId="0" applyNumberFormat="1" applyFont="1" applyFill="1" applyBorder="1"/>
    <xf numFmtId="0" fontId="5" fillId="13" borderId="13" xfId="0" applyFont="1" applyFill="1" applyBorder="1"/>
    <xf numFmtId="0" fontId="5" fillId="13" borderId="15" xfId="0" applyFont="1" applyFill="1" applyBorder="1"/>
    <xf numFmtId="3" fontId="5" fillId="13" borderId="33" xfId="0" applyNumberFormat="1" applyFont="1" applyFill="1" applyBorder="1"/>
    <xf numFmtId="3" fontId="5" fillId="13" borderId="0" xfId="0" applyNumberFormat="1" applyFont="1" applyFill="1"/>
    <xf numFmtId="10" fontId="4" fillId="13" borderId="0" xfId="0" applyNumberFormat="1" applyFont="1" applyFill="1" applyProtection="1">
      <protection locked="0"/>
    </xf>
    <xf numFmtId="13" fontId="4" fillId="13" borderId="0" xfId="0" applyNumberFormat="1" applyFont="1" applyFill="1" applyProtection="1">
      <protection locked="0"/>
    </xf>
    <xf numFmtId="3" fontId="4" fillId="13" borderId="0" xfId="0" applyNumberFormat="1" applyFont="1" applyFill="1" applyProtection="1">
      <protection locked="0"/>
    </xf>
    <xf numFmtId="0" fontId="4" fillId="13" borderId="6" xfId="0" applyFont="1" applyFill="1" applyBorder="1"/>
    <xf numFmtId="13" fontId="0" fillId="13" borderId="0" xfId="0" applyNumberFormat="1" applyFill="1"/>
    <xf numFmtId="3" fontId="38" fillId="13" borderId="0" xfId="0" applyNumberFormat="1" applyFont="1" applyFill="1" applyProtection="1">
      <protection locked="0"/>
    </xf>
    <xf numFmtId="0" fontId="51" fillId="13" borderId="0" xfId="0" applyFont="1" applyFill="1"/>
    <xf numFmtId="0" fontId="50" fillId="13" borderId="3" xfId="0" applyFont="1" applyFill="1" applyBorder="1"/>
    <xf numFmtId="0" fontId="50" fillId="13" borderId="2" xfId="0" applyFont="1" applyFill="1" applyBorder="1" applyProtection="1">
      <protection locked="0"/>
    </xf>
    <xf numFmtId="3" fontId="49" fillId="13" borderId="0" xfId="0" applyNumberFormat="1" applyFont="1" applyFill="1" applyProtection="1">
      <protection locked="0"/>
    </xf>
    <xf numFmtId="10" fontId="50" fillId="13" borderId="0" xfId="0" applyNumberFormat="1" applyFont="1" applyFill="1" applyProtection="1">
      <protection locked="0"/>
    </xf>
    <xf numFmtId="0" fontId="50" fillId="13" borderId="2" xfId="0" applyFont="1" applyFill="1" applyBorder="1"/>
    <xf numFmtId="170" fontId="0" fillId="13" borderId="3" xfId="0" applyNumberFormat="1" applyFill="1" applyBorder="1"/>
    <xf numFmtId="3" fontId="0" fillId="13" borderId="3" xfId="0" applyNumberFormat="1" applyFill="1" applyBorder="1"/>
    <xf numFmtId="3" fontId="5" fillId="13" borderId="14" xfId="0" applyNumberFormat="1" applyFont="1" applyFill="1" applyBorder="1"/>
    <xf numFmtId="3" fontId="5" fillId="13" borderId="17" xfId="0" applyNumberFormat="1" applyFont="1" applyFill="1" applyBorder="1"/>
    <xf numFmtId="13" fontId="39" fillId="13" borderId="0" xfId="0" applyNumberFormat="1" applyFont="1" applyFill="1"/>
    <xf numFmtId="0" fontId="0" fillId="13" borderId="6" xfId="0" applyFill="1" applyBorder="1"/>
    <xf numFmtId="165" fontId="0" fillId="13" borderId="16" xfId="0" applyNumberFormat="1" applyFill="1" applyBorder="1"/>
    <xf numFmtId="49" fontId="17" fillId="13" borderId="1" xfId="0" applyNumberFormat="1" applyFont="1" applyFill="1" applyBorder="1"/>
    <xf numFmtId="0" fontId="17" fillId="13" borderId="1" xfId="0" applyFont="1" applyFill="1" applyBorder="1"/>
    <xf numFmtId="0" fontId="50" fillId="13" borderId="1" xfId="0" applyFont="1" applyFill="1" applyBorder="1" applyProtection="1">
      <protection locked="0"/>
    </xf>
    <xf numFmtId="0" fontId="52" fillId="0" borderId="0" xfId="0" applyFont="1"/>
    <xf numFmtId="0" fontId="0" fillId="12" borderId="18" xfId="0" applyFill="1" applyBorder="1"/>
    <xf numFmtId="0" fontId="0" fillId="13" borderId="18" xfId="0" applyFill="1" applyBorder="1"/>
    <xf numFmtId="0" fontId="0" fillId="15" borderId="18" xfId="0" applyFill="1" applyBorder="1"/>
    <xf numFmtId="0" fontId="9" fillId="15" borderId="0" xfId="0" applyFont="1" applyFill="1"/>
    <xf numFmtId="0" fontId="13" fillId="15" borderId="0" xfId="0" applyFont="1" applyFill="1"/>
    <xf numFmtId="0" fontId="12" fillId="15" borderId="5" xfId="1" quotePrefix="1" applyFont="1" applyFill="1" applyBorder="1" applyAlignment="1">
      <alignment horizontal="center"/>
    </xf>
    <xf numFmtId="0" fontId="0" fillId="15" borderId="0" xfId="0" applyFill="1"/>
    <xf numFmtId="4" fontId="0" fillId="15" borderId="0" xfId="0" applyNumberFormat="1" applyFill="1"/>
    <xf numFmtId="4" fontId="0" fillId="15" borderId="6" xfId="0" applyNumberFormat="1" applyFill="1" applyBorder="1"/>
    <xf numFmtId="0" fontId="2" fillId="15" borderId="0" xfId="0" applyFont="1" applyFill="1"/>
    <xf numFmtId="0" fontId="5" fillId="12" borderId="0" xfId="1" applyFont="1" applyFill="1"/>
    <xf numFmtId="0" fontId="12" fillId="12" borderId="0" xfId="1" applyFont="1" applyFill="1" applyAlignment="1">
      <alignment horizontal="center"/>
    </xf>
    <xf numFmtId="0" fontId="12" fillId="12" borderId="5" xfId="1" quotePrefix="1" applyFont="1" applyFill="1" applyBorder="1" applyAlignment="1">
      <alignment horizontal="center"/>
    </xf>
    <xf numFmtId="8" fontId="12" fillId="12" borderId="6" xfId="1" applyNumberFormat="1" applyFont="1" applyFill="1" applyBorder="1" applyAlignment="1">
      <alignment horizontal="center"/>
    </xf>
    <xf numFmtId="8" fontId="12" fillId="12" borderId="0" xfId="1" applyNumberFormat="1" applyFont="1" applyFill="1" applyAlignment="1">
      <alignment horizontal="center"/>
    </xf>
    <xf numFmtId="8" fontId="12" fillId="12" borderId="7" xfId="1" applyNumberFormat="1" applyFont="1" applyFill="1" applyBorder="1" applyAlignment="1">
      <alignment horizontal="center"/>
    </xf>
    <xf numFmtId="0" fontId="2" fillId="12" borderId="0" xfId="1" applyFill="1" applyAlignment="1">
      <alignment horizontal="right"/>
    </xf>
    <xf numFmtId="8" fontId="5" fillId="12" borderId="0" xfId="1" applyNumberFormat="1" applyFont="1" applyFill="1"/>
    <xf numFmtId="9" fontId="2" fillId="12" borderId="5" xfId="2" applyFill="1" applyBorder="1"/>
    <xf numFmtId="8" fontId="5" fillId="12" borderId="6" xfId="1" applyNumberFormat="1" applyFont="1" applyFill="1" applyBorder="1"/>
    <xf numFmtId="0" fontId="2" fillId="12" borderId="0" xfId="1" applyFill="1"/>
    <xf numFmtId="0" fontId="2" fillId="12" borderId="5" xfId="1" applyFill="1" applyBorder="1"/>
    <xf numFmtId="0" fontId="5" fillId="12" borderId="6" xfId="1" applyFont="1" applyFill="1" applyBorder="1"/>
    <xf numFmtId="0" fontId="0" fillId="12" borderId="6" xfId="0" applyFill="1" applyBorder="1"/>
    <xf numFmtId="8" fontId="2" fillId="12" borderId="5" xfId="1" applyNumberFormat="1" applyFill="1" applyBorder="1"/>
    <xf numFmtId="0" fontId="5" fillId="13" borderId="0" xfId="1" applyFont="1" applyFill="1"/>
    <xf numFmtId="0" fontId="12" fillId="13" borderId="6" xfId="1" applyFont="1" applyFill="1" applyBorder="1" applyAlignment="1">
      <alignment horizontal="center"/>
    </xf>
    <xf numFmtId="0" fontId="12" fillId="13" borderId="5" xfId="1" quotePrefix="1" applyFont="1" applyFill="1" applyBorder="1" applyAlignment="1">
      <alignment horizontal="center"/>
    </xf>
    <xf numFmtId="8" fontId="12" fillId="13" borderId="6" xfId="1" applyNumberFormat="1" applyFont="1" applyFill="1" applyBorder="1" applyAlignment="1">
      <alignment horizontal="center"/>
    </xf>
    <xf numFmtId="0" fontId="2" fillId="13" borderId="0" xfId="1" applyFill="1" applyAlignment="1">
      <alignment horizontal="right"/>
    </xf>
    <xf numFmtId="8" fontId="5" fillId="13" borderId="0" xfId="1" applyNumberFormat="1" applyFont="1" applyFill="1"/>
    <xf numFmtId="9" fontId="2" fillId="13" borderId="5" xfId="2" applyFill="1" applyBorder="1"/>
    <xf numFmtId="8" fontId="5" fillId="13" borderId="6" xfId="1" applyNumberFormat="1" applyFont="1" applyFill="1" applyBorder="1"/>
    <xf numFmtId="8" fontId="2" fillId="13" borderId="5" xfId="1" applyNumberFormat="1" applyFill="1" applyBorder="1"/>
    <xf numFmtId="8" fontId="2" fillId="13" borderId="6" xfId="1" applyNumberFormat="1" applyFill="1" applyBorder="1"/>
    <xf numFmtId="0" fontId="0" fillId="7" borderId="0" xfId="0" applyFill="1"/>
    <xf numFmtId="0" fontId="2" fillId="16" borderId="0" xfId="0" applyFont="1" applyFill="1"/>
    <xf numFmtId="0" fontId="0" fillId="16" borderId="0" xfId="0" applyFill="1"/>
    <xf numFmtId="0" fontId="0" fillId="17" borderId="0" xfId="0" applyFill="1"/>
    <xf numFmtId="0" fontId="2" fillId="17" borderId="0" xfId="0" applyFont="1" applyFill="1"/>
    <xf numFmtId="10" fontId="0" fillId="17" borderId="0" xfId="0" applyNumberFormat="1" applyFill="1"/>
    <xf numFmtId="10" fontId="0" fillId="17" borderId="24" xfId="0" applyNumberFormat="1" applyFill="1" applyBorder="1" applyProtection="1">
      <protection locked="0"/>
    </xf>
    <xf numFmtId="0" fontId="30" fillId="16" borderId="0" xfId="0" applyFont="1" applyFill="1"/>
    <xf numFmtId="166" fontId="5" fillId="16" borderId="0" xfId="0" applyNumberFormat="1" applyFont="1" applyFill="1"/>
    <xf numFmtId="8" fontId="2" fillId="7" borderId="0" xfId="1" applyNumberFormat="1" applyFill="1"/>
    <xf numFmtId="8" fontId="5" fillId="7" borderId="0" xfId="1" applyNumberFormat="1" applyFont="1" applyFill="1"/>
    <xf numFmtId="8" fontId="17" fillId="7" borderId="0" xfId="1" applyNumberFormat="1" applyFont="1" applyFill="1"/>
    <xf numFmtId="8" fontId="2" fillId="9" borderId="0" xfId="1" applyNumberFormat="1" applyFill="1"/>
    <xf numFmtId="8" fontId="5" fillId="9" borderId="0" xfId="1" applyNumberFormat="1" applyFont="1" applyFill="1"/>
    <xf numFmtId="0" fontId="2" fillId="9" borderId="0" xfId="1" applyFill="1" applyAlignment="1">
      <alignment horizontal="right"/>
    </xf>
    <xf numFmtId="0" fontId="0" fillId="9" borderId="0" xfId="1" applyFont="1" applyFill="1" applyAlignment="1">
      <alignment horizontal="right"/>
    </xf>
    <xf numFmtId="8" fontId="17" fillId="9" borderId="0" xfId="1" applyNumberFormat="1" applyFont="1" applyFill="1"/>
    <xf numFmtId="0" fontId="17" fillId="7" borderId="0" xfId="0" applyFont="1" applyFill="1"/>
    <xf numFmtId="8" fontId="17" fillId="7" borderId="0" xfId="1" applyNumberFormat="1" applyFont="1" applyFill="1" applyAlignment="1">
      <alignment wrapText="1"/>
    </xf>
    <xf numFmtId="8" fontId="10" fillId="7" borderId="0" xfId="1" applyNumberFormat="1" applyFont="1" applyFill="1"/>
    <xf numFmtId="164" fontId="5" fillId="7" borderId="0" xfId="0" applyNumberFormat="1" applyFont="1" applyFill="1"/>
    <xf numFmtId="0" fontId="14" fillId="15" borderId="0" xfId="0" applyFont="1" applyFill="1"/>
    <xf numFmtId="8" fontId="5" fillId="15" borderId="0" xfId="0" applyNumberFormat="1" applyFont="1" applyFill="1"/>
    <xf numFmtId="170" fontId="5" fillId="13" borderId="1" xfId="0" applyNumberFormat="1" applyFont="1" applyFill="1" applyBorder="1"/>
    <xf numFmtId="170" fontId="5" fillId="13" borderId="2" xfId="0" applyNumberFormat="1" applyFont="1" applyFill="1" applyBorder="1"/>
    <xf numFmtId="0" fontId="5" fillId="16" borderId="19" xfId="0" applyFont="1" applyFill="1" applyBorder="1"/>
    <xf numFmtId="3" fontId="0" fillId="16" borderId="20" xfId="0" applyNumberFormat="1" applyFill="1" applyBorder="1"/>
    <xf numFmtId="3" fontId="0" fillId="16" borderId="21" xfId="0" applyNumberFormat="1" applyFill="1" applyBorder="1"/>
    <xf numFmtId="3" fontId="0" fillId="16" borderId="25" xfId="0" applyNumberFormat="1" applyFill="1" applyBorder="1"/>
    <xf numFmtId="3" fontId="5" fillId="16" borderId="24" xfId="0" applyNumberFormat="1" applyFont="1" applyFill="1" applyBorder="1"/>
    <xf numFmtId="0" fontId="5" fillId="17" borderId="19" xfId="0" applyFont="1" applyFill="1" applyBorder="1"/>
    <xf numFmtId="3" fontId="0" fillId="17" borderId="20" xfId="0" applyNumberFormat="1" applyFill="1" applyBorder="1"/>
    <xf numFmtId="3" fontId="0" fillId="17" borderId="21" xfId="0" applyNumberFormat="1" applyFill="1" applyBorder="1"/>
    <xf numFmtId="3" fontId="5" fillId="17" borderId="24" xfId="0" applyNumberFormat="1" applyFont="1" applyFill="1" applyBorder="1"/>
    <xf numFmtId="0" fontId="5" fillId="14" borderId="19" xfId="0" applyFont="1" applyFill="1" applyBorder="1"/>
    <xf numFmtId="3" fontId="0" fillId="14" borderId="20" xfId="0" applyNumberFormat="1" applyFill="1" applyBorder="1"/>
    <xf numFmtId="3" fontId="0" fillId="14" borderId="21" xfId="0" applyNumberFormat="1" applyFill="1" applyBorder="1"/>
    <xf numFmtId="3" fontId="0" fillId="14" borderId="25" xfId="0" applyNumberFormat="1" applyFill="1" applyBorder="1"/>
    <xf numFmtId="3" fontId="5" fillId="14" borderId="24" xfId="0" applyNumberFormat="1" applyFont="1" applyFill="1" applyBorder="1"/>
    <xf numFmtId="0" fontId="5" fillId="15" borderId="19" xfId="0" applyFont="1" applyFill="1" applyBorder="1"/>
    <xf numFmtId="3" fontId="0" fillId="15" borderId="20" xfId="0" applyNumberFormat="1" applyFill="1" applyBorder="1"/>
    <xf numFmtId="3" fontId="0" fillId="15" borderId="21" xfId="0" applyNumberFormat="1" applyFill="1" applyBorder="1"/>
    <xf numFmtId="3" fontId="0" fillId="15" borderId="25" xfId="0" applyNumberFormat="1" applyFill="1" applyBorder="1"/>
    <xf numFmtId="3" fontId="5" fillId="15" borderId="24" xfId="0" applyNumberFormat="1" applyFont="1" applyFill="1" applyBorder="1"/>
    <xf numFmtId="0" fontId="5" fillId="13" borderId="4" xfId="0" applyFont="1" applyFill="1" applyBorder="1"/>
    <xf numFmtId="3" fontId="0" fillId="13" borderId="5" xfId="0" applyNumberFormat="1" applyFill="1" applyBorder="1"/>
    <xf numFmtId="3" fontId="0" fillId="13" borderId="26" xfId="0" applyNumberFormat="1" applyFill="1" applyBorder="1"/>
    <xf numFmtId="3" fontId="0" fillId="13" borderId="27" xfId="0" applyNumberFormat="1" applyFill="1" applyBorder="1"/>
    <xf numFmtId="3" fontId="0" fillId="13" borderId="28" xfId="0" applyNumberFormat="1" applyFill="1" applyBorder="1"/>
    <xf numFmtId="3" fontId="5" fillId="13" borderId="10" xfId="0" applyNumberFormat="1" applyFont="1" applyFill="1" applyBorder="1"/>
    <xf numFmtId="3" fontId="0" fillId="17" borderId="22" xfId="0" applyNumberFormat="1" applyFill="1" applyBorder="1"/>
    <xf numFmtId="3" fontId="0" fillId="17" borderId="23" xfId="0" applyNumberFormat="1" applyFill="1" applyBorder="1"/>
    <xf numFmtId="3" fontId="5" fillId="18" borderId="24" xfId="0" applyNumberFormat="1" applyFont="1" applyFill="1" applyBorder="1"/>
    <xf numFmtId="0" fontId="5" fillId="18" borderId="29" xfId="0" applyFont="1" applyFill="1" applyBorder="1"/>
    <xf numFmtId="3" fontId="0" fillId="18" borderId="30" xfId="0" applyNumberFormat="1" applyFill="1" applyBorder="1"/>
    <xf numFmtId="3" fontId="0" fillId="18" borderId="24" xfId="0" applyNumberFormat="1" applyFill="1" applyBorder="1"/>
    <xf numFmtId="3" fontId="0" fillId="18" borderId="31" xfId="0" applyNumberFormat="1" applyFill="1" applyBorder="1"/>
    <xf numFmtId="171" fontId="0" fillId="13" borderId="6" xfId="0" applyNumberFormat="1" applyFill="1" applyBorder="1"/>
    <xf numFmtId="4" fontId="0" fillId="13" borderId="6" xfId="0" applyNumberFormat="1" applyFill="1" applyBorder="1"/>
    <xf numFmtId="3" fontId="0" fillId="19" borderId="0" xfId="0" applyNumberFormat="1" applyFill="1"/>
    <xf numFmtId="175" fontId="0" fillId="0" borderId="0" xfId="0" applyNumberFormat="1" applyAlignment="1" applyProtection="1">
      <alignment horizontal="left"/>
      <protection locked="0"/>
    </xf>
    <xf numFmtId="8" fontId="2" fillId="0" borderId="0" xfId="2" applyNumberFormat="1" applyFill="1" applyBorder="1"/>
    <xf numFmtId="165" fontId="0" fillId="15" borderId="5" xfId="0" applyNumberFormat="1" applyFill="1" applyBorder="1"/>
    <xf numFmtId="4" fontId="2" fillId="12" borderId="0" xfId="0" applyNumberFormat="1" applyFont="1" applyFill="1"/>
    <xf numFmtId="9" fontId="2" fillId="6" borderId="0" xfId="0" applyNumberFormat="1" applyFont="1" applyFill="1"/>
    <xf numFmtId="0" fontId="30" fillId="12" borderId="0" xfId="0" applyFont="1" applyFill="1"/>
    <xf numFmtId="0" fontId="30" fillId="12" borderId="0" xfId="0" applyFont="1" applyFill="1" applyAlignment="1">
      <alignment horizontal="left"/>
    </xf>
    <xf numFmtId="3" fontId="8" fillId="0" borderId="0" xfId="0" applyNumberFormat="1" applyFont="1"/>
    <xf numFmtId="3" fontId="2" fillId="13" borderId="0" xfId="0" applyNumberFormat="1" applyFont="1" applyFill="1"/>
    <xf numFmtId="1" fontId="2" fillId="13" borderId="18" xfId="0" applyNumberFormat="1" applyFont="1" applyFill="1" applyBorder="1"/>
    <xf numFmtId="0" fontId="30" fillId="0" borderId="0" xfId="0" applyFont="1"/>
    <xf numFmtId="0" fontId="30" fillId="13" borderId="0" xfId="0" applyFont="1" applyFill="1"/>
    <xf numFmtId="0" fontId="55" fillId="0" borderId="0" xfId="4" applyFont="1"/>
    <xf numFmtId="0" fontId="24" fillId="0" borderId="0" xfId="0" applyFont="1"/>
    <xf numFmtId="0" fontId="56" fillId="0" borderId="0" xfId="0" applyFont="1"/>
    <xf numFmtId="10" fontId="56" fillId="0" borderId="0" xfId="3" applyNumberFormat="1" applyFont="1" applyFill="1" applyBorder="1" applyAlignment="1">
      <alignment horizontal="left" indent="6"/>
    </xf>
    <xf numFmtId="1" fontId="0" fillId="0" borderId="0" xfId="0" applyNumberFormat="1"/>
    <xf numFmtId="1" fontId="57" fillId="0" borderId="0" xfId="0" applyNumberFormat="1" applyFont="1"/>
    <xf numFmtId="14" fontId="57" fillId="0" borderId="0" xfId="0" applyNumberFormat="1" applyFont="1"/>
    <xf numFmtId="0" fontId="4" fillId="0" borderId="0" xfId="0" applyFont="1" applyAlignment="1">
      <alignment horizontal="left"/>
    </xf>
    <xf numFmtId="0" fontId="2" fillId="5" borderId="0" xfId="0" applyFont="1" applyFill="1"/>
    <xf numFmtId="0" fontId="54" fillId="5" borderId="0" xfId="0" applyFont="1" applyFill="1"/>
    <xf numFmtId="3" fontId="2" fillId="5" borderId="6" xfId="0" applyNumberFormat="1" applyFont="1" applyFill="1" applyBorder="1"/>
    <xf numFmtId="0" fontId="29" fillId="5" borderId="0" xfId="0" applyFont="1" applyFill="1"/>
    <xf numFmtId="0" fontId="37" fillId="0" borderId="0" xfId="0" applyFont="1"/>
    <xf numFmtId="0" fontId="2" fillId="9" borderId="0" xfId="0" applyFont="1" applyFill="1"/>
    <xf numFmtId="0" fontId="30" fillId="10" borderId="0" xfId="0" applyFont="1" applyFill="1"/>
    <xf numFmtId="0" fontId="30" fillId="9" borderId="0" xfId="0" applyFont="1" applyFill="1"/>
    <xf numFmtId="0" fontId="2" fillId="10" borderId="0" xfId="0" applyFont="1" applyFill="1"/>
    <xf numFmtId="0" fontId="0" fillId="10" borderId="2" xfId="0" applyFill="1" applyBorder="1"/>
    <xf numFmtId="0" fontId="54" fillId="0" borderId="0" xfId="0" applyFont="1"/>
    <xf numFmtId="3" fontId="2" fillId="6" borderId="0" xfId="0" applyNumberFormat="1" applyFont="1" applyFill="1"/>
    <xf numFmtId="3" fontId="2" fillId="6" borderId="24" xfId="0" applyNumberFormat="1" applyFont="1" applyFill="1" applyBorder="1"/>
    <xf numFmtId="3" fontId="5" fillId="0" borderId="0" xfId="0" applyNumberFormat="1" applyFont="1"/>
    <xf numFmtId="0" fontId="2" fillId="12" borderId="1" xfId="0" applyFont="1" applyFill="1" applyBorder="1"/>
    <xf numFmtId="0" fontId="2" fillId="21" borderId="4" xfId="0" applyFont="1" applyFill="1" applyBorder="1"/>
    <xf numFmtId="0" fontId="2" fillId="21" borderId="57" xfId="0" applyFont="1" applyFill="1" applyBorder="1"/>
    <xf numFmtId="0" fontId="2" fillId="21" borderId="32" xfId="0" applyFont="1" applyFill="1" applyBorder="1"/>
    <xf numFmtId="0" fontId="2" fillId="21" borderId="7" xfId="0" applyFont="1" applyFill="1" applyBorder="1"/>
    <xf numFmtId="0" fontId="2" fillId="22" borderId="0" xfId="0" applyFont="1" applyFill="1"/>
    <xf numFmtId="0" fontId="2" fillId="22" borderId="18" xfId="0" applyFont="1" applyFill="1" applyBorder="1"/>
    <xf numFmtId="0" fontId="2" fillId="22" borderId="24" xfId="0" applyFont="1" applyFill="1" applyBorder="1"/>
    <xf numFmtId="0" fontId="50" fillId="13" borderId="0" xfId="0" applyFont="1" applyFill="1"/>
    <xf numFmtId="0" fontId="54" fillId="13" borderId="0" xfId="0" applyFont="1" applyFill="1"/>
    <xf numFmtId="0" fontId="58" fillId="13" borderId="0" xfId="0" applyFont="1" applyFill="1"/>
    <xf numFmtId="0" fontId="5" fillId="16" borderId="0" xfId="0" applyFont="1" applyFill="1"/>
    <xf numFmtId="0" fontId="2" fillId="13" borderId="18" xfId="0" applyFont="1" applyFill="1" applyBorder="1"/>
    <xf numFmtId="0" fontId="2" fillId="13" borderId="5" xfId="0" applyFont="1" applyFill="1" applyBorder="1"/>
    <xf numFmtId="0" fontId="5" fillId="0" borderId="3" xfId="0" applyFont="1" applyBorder="1" applyAlignment="1">
      <alignment wrapText="1"/>
    </xf>
    <xf numFmtId="165" fontId="2" fillId="13" borderId="0" xfId="0" applyNumberFormat="1" applyFont="1" applyFill="1"/>
    <xf numFmtId="3" fontId="0" fillId="17" borderId="25" xfId="0" applyNumberFormat="1" applyFill="1" applyBorder="1"/>
    <xf numFmtId="3" fontId="0" fillId="13" borderId="44" xfId="0" applyNumberFormat="1" applyFill="1" applyBorder="1"/>
    <xf numFmtId="176" fontId="2" fillId="0" borderId="20" xfId="0" applyNumberFormat="1" applyFont="1" applyBorder="1"/>
    <xf numFmtId="0" fontId="2" fillId="0" borderId="3" xfId="0" applyFont="1" applyBorder="1"/>
    <xf numFmtId="172" fontId="0" fillId="13" borderId="0" xfId="0" applyNumberFormat="1" applyFill="1"/>
    <xf numFmtId="0" fontId="5" fillId="15" borderId="0" xfId="0" applyFont="1" applyFill="1"/>
    <xf numFmtId="176" fontId="2" fillId="0" borderId="5" xfId="0" applyNumberFormat="1" applyFont="1" applyBorder="1"/>
    <xf numFmtId="3" fontId="0" fillId="18" borderId="14" xfId="0" applyNumberFormat="1" applyFill="1" applyBorder="1"/>
    <xf numFmtId="3" fontId="0" fillId="14" borderId="34" xfId="0" applyNumberFormat="1" applyFill="1" applyBorder="1"/>
    <xf numFmtId="3" fontId="0" fillId="13" borderId="14" xfId="0" applyNumberFormat="1" applyFill="1" applyBorder="1"/>
    <xf numFmtId="3" fontId="0" fillId="17" borderId="6" xfId="0" applyNumberFormat="1" applyFill="1" applyBorder="1"/>
    <xf numFmtId="3" fontId="0" fillId="17" borderId="34" xfId="0" applyNumberFormat="1" applyFill="1" applyBorder="1"/>
    <xf numFmtId="0" fontId="5" fillId="0" borderId="6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76" fontId="2" fillId="0" borderId="27" xfId="0" applyNumberFormat="1" applyFont="1" applyBorder="1"/>
    <xf numFmtId="176" fontId="2" fillId="0" borderId="28" xfId="0" applyNumberFormat="1" applyFont="1" applyBorder="1"/>
    <xf numFmtId="0" fontId="29" fillId="14" borderId="26" xfId="0" applyFont="1" applyFill="1" applyBorder="1"/>
    <xf numFmtId="8" fontId="5" fillId="9" borderId="0" xfId="1" applyNumberFormat="1" applyFont="1" applyFill="1" applyAlignment="1">
      <alignment wrapText="1"/>
    </xf>
    <xf numFmtId="8" fontId="2" fillId="9" borderId="0" xfId="1" applyNumberFormat="1" applyFill="1" applyAlignment="1">
      <alignment wrapText="1"/>
    </xf>
    <xf numFmtId="0" fontId="5" fillId="9" borderId="0" xfId="0" applyFont="1" applyFill="1"/>
    <xf numFmtId="8" fontId="14" fillId="7" borderId="0" xfId="1" applyNumberFormat="1" applyFont="1" applyFill="1"/>
    <xf numFmtId="168" fontId="1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53" fillId="0" borderId="0" xfId="4"/>
    <xf numFmtId="14" fontId="0" fillId="23" borderId="0" xfId="0" applyNumberFormat="1" applyFill="1"/>
    <xf numFmtId="0" fontId="0" fillId="23" borderId="0" xfId="0" applyFill="1"/>
    <xf numFmtId="0" fontId="2" fillId="23" borderId="0" xfId="0" applyFont="1" applyFill="1"/>
    <xf numFmtId="177" fontId="0" fillId="0" borderId="0" xfId="0" applyNumberFormat="1"/>
    <xf numFmtId="0" fontId="5" fillId="15" borderId="16" xfId="0" applyFont="1" applyFill="1" applyBorder="1"/>
    <xf numFmtId="0" fontId="1" fillId="24" borderId="0" xfId="5" applyFill="1"/>
    <xf numFmtId="0" fontId="1" fillId="0" borderId="0" xfId="5"/>
    <xf numFmtId="0" fontId="60" fillId="24" borderId="16" xfId="5" applyFont="1" applyFill="1" applyBorder="1" applyAlignment="1">
      <alignment horizontal="left"/>
    </xf>
    <xf numFmtId="0" fontId="61" fillId="24" borderId="16" xfId="5" applyFont="1" applyFill="1" applyBorder="1"/>
    <xf numFmtId="0" fontId="62" fillId="18" borderId="67" xfId="0" applyFont="1" applyFill="1" applyBorder="1" applyAlignment="1">
      <alignment horizontal="center" vertical="center"/>
    </xf>
    <xf numFmtId="0" fontId="60" fillId="24" borderId="0" xfId="5" applyFont="1" applyFill="1" applyAlignment="1">
      <alignment horizontal="left"/>
    </xf>
    <xf numFmtId="0" fontId="61" fillId="24" borderId="0" xfId="5" applyFont="1" applyFill="1"/>
    <xf numFmtId="0" fontId="62" fillId="18" borderId="68" xfId="0" applyFont="1" applyFill="1" applyBorder="1" applyAlignment="1">
      <alignment horizontal="center" vertical="center"/>
    </xf>
    <xf numFmtId="178" fontId="63" fillId="18" borderId="68" xfId="0" applyNumberFormat="1" applyFont="1" applyFill="1" applyBorder="1" applyAlignment="1">
      <alignment horizontal="center" vertical="center"/>
    </xf>
    <xf numFmtId="0" fontId="1" fillId="18" borderId="69" xfId="5" applyFill="1" applyBorder="1" applyAlignment="1">
      <alignment horizontal="center" vertical="center"/>
    </xf>
    <xf numFmtId="178" fontId="63" fillId="18" borderId="69" xfId="0" applyNumberFormat="1" applyFont="1" applyFill="1" applyBorder="1" applyAlignment="1">
      <alignment horizontal="center" vertical="center"/>
    </xf>
    <xf numFmtId="166" fontId="63" fillId="24" borderId="0" xfId="0" applyNumberFormat="1" applyFont="1" applyFill="1" applyAlignment="1">
      <alignment vertical="center" wrapText="1" shrinkToFit="1"/>
    </xf>
    <xf numFmtId="178" fontId="1" fillId="24" borderId="0" xfId="5" applyNumberFormat="1" applyFill="1"/>
    <xf numFmtId="0" fontId="61" fillId="24" borderId="0" xfId="5" applyFont="1" applyFill="1" applyAlignment="1">
      <alignment horizontal="center"/>
    </xf>
    <xf numFmtId="0" fontId="64" fillId="24" borderId="0" xfId="5" applyFont="1" applyFill="1" applyAlignment="1">
      <alignment horizontal="center"/>
    </xf>
    <xf numFmtId="0" fontId="65" fillId="24" borderId="0" xfId="5" applyFont="1" applyFill="1" applyAlignment="1">
      <alignment horizontal="right" indent="1"/>
    </xf>
    <xf numFmtId="178" fontId="65" fillId="24" borderId="19" xfId="5" applyNumberFormat="1" applyFont="1" applyFill="1" applyBorder="1" applyAlignment="1">
      <alignment horizontal="center"/>
    </xf>
    <xf numFmtId="0" fontId="65" fillId="24" borderId="5" xfId="5" applyFont="1" applyFill="1" applyBorder="1"/>
    <xf numFmtId="178" fontId="65" fillId="24" borderId="20" xfId="5" applyNumberFormat="1" applyFont="1" applyFill="1" applyBorder="1" applyAlignment="1">
      <alignment horizontal="center"/>
    </xf>
    <xf numFmtId="0" fontId="60" fillId="24" borderId="35" xfId="5" applyFont="1" applyFill="1" applyBorder="1"/>
    <xf numFmtId="0" fontId="61" fillId="24" borderId="35" xfId="5" applyFont="1" applyFill="1" applyBorder="1"/>
    <xf numFmtId="0" fontId="65" fillId="24" borderId="25" xfId="5" applyFont="1" applyFill="1" applyBorder="1" applyAlignment="1">
      <alignment horizontal="center"/>
    </xf>
    <xf numFmtId="0" fontId="65" fillId="24" borderId="28" xfId="5" applyFont="1" applyFill="1" applyBorder="1" applyAlignment="1">
      <alignment horizontal="right" indent="1"/>
    </xf>
    <xf numFmtId="41" fontId="33" fillId="24" borderId="67" xfId="5" applyNumberFormat="1" applyFont="1" applyFill="1" applyBorder="1" applyAlignment="1">
      <alignment vertical="center"/>
    </xf>
    <xf numFmtId="41" fontId="67" fillId="18" borderId="70" xfId="5" applyNumberFormat="1" applyFont="1" applyFill="1" applyBorder="1" applyAlignment="1">
      <alignment vertical="center"/>
    </xf>
    <xf numFmtId="41" fontId="33" fillId="24" borderId="68" xfId="5" applyNumberFormat="1" applyFont="1" applyFill="1" applyBorder="1" applyAlignment="1">
      <alignment vertical="center"/>
    </xf>
    <xf numFmtId="41" fontId="67" fillId="18" borderId="72" xfId="5" applyNumberFormat="1" applyFont="1" applyFill="1" applyBorder="1" applyAlignment="1">
      <alignment vertical="center"/>
    </xf>
    <xf numFmtId="41" fontId="33" fillId="24" borderId="76" xfId="5" applyNumberFormat="1" applyFont="1" applyFill="1" applyBorder="1" applyAlignment="1">
      <alignment vertical="center"/>
    </xf>
    <xf numFmtId="41" fontId="67" fillId="18" borderId="74" xfId="5" applyNumberFormat="1" applyFont="1" applyFill="1" applyBorder="1" applyAlignment="1">
      <alignment vertical="center"/>
    </xf>
    <xf numFmtId="0" fontId="57" fillId="6" borderId="2" xfId="5" applyFont="1" applyFill="1" applyBorder="1" applyAlignment="1">
      <alignment horizontal="left" vertical="center" indent="2"/>
    </xf>
    <xf numFmtId="0" fontId="1" fillId="6" borderId="2" xfId="5" applyFill="1" applyBorder="1" applyAlignment="1">
      <alignment vertical="center"/>
    </xf>
    <xf numFmtId="41" fontId="67" fillId="6" borderId="18" xfId="5" applyNumberFormat="1" applyFont="1" applyFill="1" applyBorder="1" applyAlignment="1">
      <alignment vertical="center"/>
    </xf>
    <xf numFmtId="41" fontId="67" fillId="6" borderId="2" xfId="5" applyNumberFormat="1" applyFont="1" applyFill="1" applyBorder="1" applyAlignment="1">
      <alignment vertical="center"/>
    </xf>
    <xf numFmtId="0" fontId="57" fillId="24" borderId="3" xfId="5" applyFont="1" applyFill="1" applyBorder="1" applyAlignment="1">
      <alignment horizontal="left" vertical="center" indent="2"/>
    </xf>
    <xf numFmtId="41" fontId="67" fillId="24" borderId="3" xfId="5" applyNumberFormat="1" applyFont="1" applyFill="1" applyBorder="1" applyAlignment="1">
      <alignment vertical="center"/>
    </xf>
    <xf numFmtId="0" fontId="65" fillId="24" borderId="35" xfId="5" applyFont="1" applyFill="1" applyBorder="1" applyAlignment="1">
      <alignment horizontal="center"/>
    </xf>
    <xf numFmtId="0" fontId="65" fillId="24" borderId="35" xfId="5" applyFont="1" applyFill="1" applyBorder="1" applyAlignment="1">
      <alignment horizontal="right" indent="1"/>
    </xf>
    <xf numFmtId="41" fontId="67" fillId="18" borderId="69" xfId="5" applyNumberFormat="1" applyFont="1" applyFill="1" applyBorder="1" applyAlignment="1">
      <alignment vertical="center"/>
    </xf>
    <xf numFmtId="41" fontId="67" fillId="18" borderId="77" xfId="5" applyNumberFormat="1" applyFont="1" applyFill="1" applyBorder="1" applyAlignment="1">
      <alignment vertical="center"/>
    </xf>
    <xf numFmtId="10" fontId="68" fillId="24" borderId="35" xfId="6" applyNumberFormat="1" applyFont="1" applyFill="1" applyBorder="1" applyAlignment="1" applyProtection="1">
      <alignment horizontal="center" vertical="center"/>
    </xf>
    <xf numFmtId="0" fontId="59" fillId="5" borderId="0" xfId="0" applyFont="1" applyFill="1"/>
    <xf numFmtId="0" fontId="0" fillId="5" borderId="0" xfId="0" applyFill="1"/>
    <xf numFmtId="9" fontId="0" fillId="5" borderId="9" xfId="0" applyNumberFormat="1" applyFill="1" applyBorder="1" applyAlignment="1">
      <alignment horizontal="center"/>
    </xf>
    <xf numFmtId="41" fontId="1" fillId="0" borderId="0" xfId="5" applyNumberFormat="1"/>
    <xf numFmtId="0" fontId="5" fillId="13" borderId="2" xfId="0" applyFont="1" applyFill="1" applyBorder="1"/>
    <xf numFmtId="8" fontId="2" fillId="0" borderId="0" xfId="0" applyNumberFormat="1" applyFont="1"/>
    <xf numFmtId="0" fontId="33" fillId="24" borderId="68" xfId="5" applyFont="1" applyFill="1" applyBorder="1" applyAlignment="1">
      <alignment vertical="center"/>
    </xf>
    <xf numFmtId="3" fontId="1" fillId="0" borderId="0" xfId="5" applyNumberFormat="1"/>
    <xf numFmtId="42" fontId="0" fillId="0" borderId="57" xfId="0" applyNumberFormat="1" applyBorder="1"/>
    <xf numFmtId="0" fontId="70" fillId="20" borderId="66" xfId="0" applyFont="1" applyFill="1" applyBorder="1" applyAlignment="1">
      <alignment vertical="center"/>
    </xf>
    <xf numFmtId="0" fontId="70" fillId="20" borderId="0" xfId="0" applyFont="1" applyFill="1" applyAlignment="1">
      <alignment vertical="center"/>
    </xf>
    <xf numFmtId="0" fontId="71" fillId="20" borderId="59" xfId="0" applyFont="1" applyFill="1" applyBorder="1" applyAlignment="1">
      <alignment vertical="center" wrapText="1"/>
    </xf>
    <xf numFmtId="0" fontId="71" fillId="18" borderId="60" xfId="0" applyFont="1" applyFill="1" applyBorder="1" applyAlignment="1">
      <alignment horizontal="center" vertical="center" wrapText="1"/>
    </xf>
    <xf numFmtId="0" fontId="71" fillId="20" borderId="60" xfId="0" applyFont="1" applyFill="1" applyBorder="1" applyAlignment="1">
      <alignment horizontal="center" vertical="center" wrapText="1"/>
    </xf>
    <xf numFmtId="0" fontId="69" fillId="20" borderId="61" xfId="0" applyFont="1" applyFill="1" applyBorder="1" applyAlignment="1">
      <alignment vertical="center" wrapText="1"/>
    </xf>
    <xf numFmtId="10" fontId="69" fillId="18" borderId="62" xfId="0" applyNumberFormat="1" applyFont="1" applyFill="1" applyBorder="1" applyAlignment="1">
      <alignment horizontal="right" vertical="center" wrapText="1"/>
    </xf>
    <xf numFmtId="10" fontId="69" fillId="20" borderId="62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vertical="center" wrapText="1"/>
    </xf>
    <xf numFmtId="0" fontId="72" fillId="20" borderId="59" xfId="0" applyFont="1" applyFill="1" applyBorder="1" applyAlignment="1">
      <alignment horizontal="left" vertical="top" wrapText="1"/>
    </xf>
    <xf numFmtId="0" fontId="72" fillId="20" borderId="59" xfId="0" applyFont="1" applyFill="1" applyBorder="1" applyAlignment="1">
      <alignment horizontal="right" vertical="top" wrapText="1"/>
    </xf>
    <xf numFmtId="0" fontId="73" fillId="20" borderId="59" xfId="0" applyFont="1" applyFill="1" applyBorder="1" applyAlignment="1">
      <alignment horizontal="left" vertical="top" wrapText="1"/>
    </xf>
    <xf numFmtId="10" fontId="73" fillId="20" borderId="59" xfId="0" applyNumberFormat="1" applyFont="1" applyFill="1" applyBorder="1" applyAlignment="1">
      <alignment horizontal="right" vertical="top" wrapText="1"/>
    </xf>
    <xf numFmtId="0" fontId="2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57" fillId="18" borderId="77" xfId="5" applyFont="1" applyFill="1" applyBorder="1" applyAlignment="1">
      <alignment horizontal="left" vertical="center" indent="2"/>
    </xf>
    <xf numFmtId="0" fontId="57" fillId="18" borderId="78" xfId="5" applyFont="1" applyFill="1" applyBorder="1" applyAlignment="1">
      <alignment horizontal="left" vertical="center" indent="2"/>
    </xf>
    <xf numFmtId="0" fontId="57" fillId="0" borderId="72" xfId="5" applyFont="1" applyBorder="1" applyAlignment="1">
      <alignment horizontal="left" vertical="center" indent="2"/>
    </xf>
    <xf numFmtId="0" fontId="57" fillId="0" borderId="73" xfId="5" applyFont="1" applyBorder="1" applyAlignment="1">
      <alignment horizontal="left" vertical="center" indent="2"/>
    </xf>
    <xf numFmtId="0" fontId="57" fillId="0" borderId="70" xfId="5" applyFont="1" applyBorder="1" applyAlignment="1">
      <alignment horizontal="left" vertical="center" indent="2"/>
    </xf>
    <xf numFmtId="0" fontId="57" fillId="0" borderId="71" xfId="5" applyFont="1" applyBorder="1" applyAlignment="1">
      <alignment horizontal="left" vertical="center" indent="2"/>
    </xf>
    <xf numFmtId="0" fontId="63" fillId="18" borderId="67" xfId="0" applyFont="1" applyFill="1" applyBorder="1" applyAlignment="1">
      <alignment horizontal="left" vertical="center" indent="1"/>
    </xf>
    <xf numFmtId="0" fontId="63" fillId="18" borderId="68" xfId="0" applyFont="1" applyFill="1" applyBorder="1" applyAlignment="1">
      <alignment horizontal="left" vertical="center" indent="1"/>
    </xf>
    <xf numFmtId="166" fontId="63" fillId="18" borderId="68" xfId="0" applyNumberFormat="1" applyFont="1" applyFill="1" applyBorder="1" applyAlignment="1">
      <alignment horizontal="center" vertical="center" wrapText="1" shrinkToFit="1"/>
    </xf>
    <xf numFmtId="166" fontId="63" fillId="18" borderId="69" xfId="0" applyNumberFormat="1" applyFont="1" applyFill="1" applyBorder="1" applyAlignment="1">
      <alignment horizontal="center" vertical="center" wrapText="1" shrinkToFit="1"/>
    </xf>
    <xf numFmtId="0" fontId="57" fillId="18" borderId="69" xfId="5" applyFont="1" applyFill="1" applyBorder="1" applyAlignment="1">
      <alignment horizontal="left" indent="1"/>
    </xf>
    <xf numFmtId="0" fontId="57" fillId="0" borderId="74" xfId="5" applyFont="1" applyBorder="1" applyAlignment="1">
      <alignment horizontal="left" vertical="center" indent="2"/>
    </xf>
    <xf numFmtId="0" fontId="57" fillId="0" borderId="75" xfId="5" applyFont="1" applyBorder="1" applyAlignment="1">
      <alignment horizontal="left" vertical="center" indent="2"/>
    </xf>
    <xf numFmtId="0" fontId="10" fillId="0" borderId="1" xfId="0" applyFont="1" applyBorder="1" applyAlignment="1">
      <alignment wrapText="1"/>
    </xf>
    <xf numFmtId="0" fontId="74" fillId="20" borderId="63" xfId="0" applyFont="1" applyFill="1" applyBorder="1" applyAlignment="1">
      <alignment horizontal="left" vertical="top" wrapText="1"/>
    </xf>
    <xf numFmtId="0" fontId="74" fillId="20" borderId="64" xfId="0" applyFont="1" applyFill="1" applyBorder="1" applyAlignment="1">
      <alignment horizontal="left" vertical="top" wrapText="1"/>
    </xf>
    <xf numFmtId="0" fontId="74" fillId="20" borderId="64" xfId="0" applyFont="1" applyFill="1" applyBorder="1" applyAlignment="1">
      <alignment horizontal="left" vertical="top"/>
    </xf>
    <xf numFmtId="0" fontId="74" fillId="20" borderId="60" xfId="0" applyFont="1" applyFill="1" applyBorder="1" applyAlignment="1">
      <alignment horizontal="left" vertical="top"/>
    </xf>
    <xf numFmtId="0" fontId="74" fillId="20" borderId="63" xfId="0" applyFont="1" applyFill="1" applyBorder="1" applyAlignment="1">
      <alignment horizontal="left" vertical="top"/>
    </xf>
    <xf numFmtId="0" fontId="73" fillId="20" borderId="0" xfId="0" applyFont="1" applyFill="1" applyAlignment="1">
      <alignment horizontal="left" vertical="top" wrapText="1"/>
    </xf>
    <xf numFmtId="8" fontId="11" fillId="3" borderId="8" xfId="1" applyNumberFormat="1" applyFont="1" applyFill="1" applyBorder="1" applyAlignment="1">
      <alignment horizontal="center"/>
    </xf>
    <xf numFmtId="8" fontId="11" fillId="3" borderId="9" xfId="1" applyNumberFormat="1" applyFont="1" applyFill="1" applyBorder="1" applyAlignment="1">
      <alignment horizontal="center"/>
    </xf>
    <xf numFmtId="8" fontId="10" fillId="9" borderId="0" xfId="1" applyNumberFormat="1" applyFont="1" applyFill="1" applyAlignment="1">
      <alignment wrapText="1"/>
    </xf>
    <xf numFmtId="8" fontId="14" fillId="9" borderId="0" xfId="1" applyNumberFormat="1" applyFont="1" applyFill="1" applyAlignment="1">
      <alignment wrapText="1"/>
    </xf>
    <xf numFmtId="0" fontId="72" fillId="20" borderId="63" xfId="0" applyFont="1" applyFill="1" applyBorder="1" applyAlignment="1">
      <alignment vertical="top" wrapText="1"/>
    </xf>
    <xf numFmtId="0" fontId="72" fillId="20" borderId="60" xfId="0" applyFont="1" applyFill="1" applyBorder="1" applyAlignment="1">
      <alignment vertical="top" wrapText="1"/>
    </xf>
    <xf numFmtId="10" fontId="73" fillId="20" borderId="63" xfId="0" applyNumberFormat="1" applyFont="1" applyFill="1" applyBorder="1" applyAlignment="1">
      <alignment horizontal="center" vertical="top" wrapText="1"/>
    </xf>
    <xf numFmtId="10" fontId="73" fillId="20" borderId="60" xfId="0" applyNumberFormat="1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2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5" fillId="0" borderId="54" xfId="0" applyFont="1" applyBorder="1" applyAlignment="1">
      <alignment wrapText="1"/>
    </xf>
    <xf numFmtId="0" fontId="73" fillId="20" borderId="0" xfId="0" applyFont="1" applyFill="1" applyBorder="1" applyAlignment="1">
      <alignment horizontal="left" vertical="top" wrapText="1"/>
    </xf>
  </cellXfs>
  <cellStyles count="7">
    <cellStyle name="Currency" xfId="3" builtinId="4"/>
    <cellStyle name="Hyperlink" xfId="4" builtinId="8"/>
    <cellStyle name="Normal" xfId="0" builtinId="0"/>
    <cellStyle name="Normal 4" xfId="5" xr:uid="{ABD899A1-5356-45C3-BE19-9BB2472246D7}"/>
    <cellStyle name="Normal_Jan 13 2004 Projection of Fees &amp; Tuition UCB" xfId="1" xr:uid="{00000000-0005-0000-0000-000003000000}"/>
    <cellStyle name="Percent" xfId="2" builtinId="5"/>
    <cellStyle name="Percent 4" xfId="6" xr:uid="{2E98BEC6-4176-4080-ADCA-D472CB321D11}"/>
  </cellStyles>
  <dxfs count="2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0C1"/>
      <color rgb="FFCCFFCC"/>
      <color rgb="FFFFE699"/>
      <color rgb="FFF8CBAD"/>
      <color rgb="FFD9E1F2"/>
      <color rgb="FFA9D08E"/>
      <color rgb="FFFBE2D1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1095375</xdr:colOff>
      <xdr:row>3</xdr:row>
      <xdr:rowOff>133350</xdr:rowOff>
    </xdr:to>
    <xdr:pic>
      <xdr:nvPicPr>
        <xdr:cNvPr id="1180" name="Picture 86" descr="ERSO New Logo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800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133350</xdr:colOff>
      <xdr:row>3</xdr:row>
      <xdr:rowOff>133350</xdr:rowOff>
    </xdr:to>
    <xdr:pic>
      <xdr:nvPicPr>
        <xdr:cNvPr id="3146" name="Picture 36" descr="ERSO New Logo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152400</xdr:colOff>
      <xdr:row>3</xdr:row>
      <xdr:rowOff>133350</xdr:rowOff>
    </xdr:to>
    <xdr:pic>
      <xdr:nvPicPr>
        <xdr:cNvPr id="4160" name="Picture 31" descr="ERSO New Logo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6478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95250</xdr:colOff>
      <xdr:row>3</xdr:row>
      <xdr:rowOff>133350</xdr:rowOff>
    </xdr:to>
    <xdr:pic>
      <xdr:nvPicPr>
        <xdr:cNvPr id="5181" name="Picture 30" descr="ERSO New Logo">
          <a:extLst>
            <a:ext uri="{FF2B5EF4-FFF2-40B4-BE49-F238E27FC236}">
              <a16:creationId xmlns:a16="http://schemas.microsoft.com/office/drawing/2014/main" id="{00000000-0008-0000-0300-00003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609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161925</xdr:colOff>
      <xdr:row>3</xdr:row>
      <xdr:rowOff>133350</xdr:rowOff>
    </xdr:to>
    <xdr:pic>
      <xdr:nvPicPr>
        <xdr:cNvPr id="2119" name="Picture 38" descr="ERSO New Logo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6764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800100</xdr:colOff>
      <xdr:row>3</xdr:row>
      <xdr:rowOff>171450</xdr:rowOff>
    </xdr:to>
    <xdr:pic>
      <xdr:nvPicPr>
        <xdr:cNvPr id="6163" name="Picture 4" descr="ERSO New Logo">
          <a:extLst>
            <a:ext uri="{FF2B5EF4-FFF2-40B4-BE49-F238E27FC236}">
              <a16:creationId xmlns:a16="http://schemas.microsoft.com/office/drawing/2014/main" id="{00000000-0008-0000-0500-00001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6478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RA\Financial%20Management\Postdocs%20calculator_v2.xlsx" TargetMode="External"/><Relationship Id="rId1" Type="http://schemas.openxmlformats.org/officeDocument/2006/relationships/externalLinkPath" Target="/RA/Financial%20Management/Postdocs%20calculator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Postdoc Salary Calculator"/>
    </sheetNames>
    <sheetDataSet>
      <sheetData sheetId="0" refreshError="1"/>
      <sheetData sheetId="1">
        <row r="18">
          <cell r="C18">
            <v>0</v>
          </cell>
        </row>
      </sheetData>
      <sheetData sheetId="2">
        <row r="6">
          <cell r="D6">
            <v>0</v>
          </cell>
          <cell r="E6">
            <v>45017</v>
          </cell>
          <cell r="F6">
            <v>60000</v>
          </cell>
          <cell r="I6">
            <v>0</v>
          </cell>
          <cell r="J6">
            <v>45200</v>
          </cell>
          <cell r="K6">
            <v>64500</v>
          </cell>
        </row>
        <row r="7">
          <cell r="D7">
            <v>1</v>
          </cell>
          <cell r="E7">
            <v>45017</v>
          </cell>
          <cell r="F7">
            <v>62220</v>
          </cell>
          <cell r="I7">
            <v>1</v>
          </cell>
          <cell r="J7">
            <v>45200</v>
          </cell>
          <cell r="K7">
            <v>66886.5</v>
          </cell>
        </row>
        <row r="8">
          <cell r="D8">
            <v>2</v>
          </cell>
          <cell r="E8">
            <v>45017</v>
          </cell>
          <cell r="F8">
            <v>64522</v>
          </cell>
          <cell r="I8">
            <v>2</v>
          </cell>
          <cell r="J8">
            <v>45200</v>
          </cell>
          <cell r="K8">
            <v>69361.149999999994</v>
          </cell>
        </row>
        <row r="9">
          <cell r="D9">
            <v>3</v>
          </cell>
          <cell r="E9">
            <v>45017</v>
          </cell>
          <cell r="F9">
            <v>66909</v>
          </cell>
          <cell r="I9">
            <v>3</v>
          </cell>
          <cell r="J9">
            <v>45200</v>
          </cell>
          <cell r="K9">
            <v>71927.175000000003</v>
          </cell>
        </row>
        <row r="10">
          <cell r="D10">
            <v>4</v>
          </cell>
          <cell r="E10">
            <v>45017</v>
          </cell>
          <cell r="F10">
            <v>69385</v>
          </cell>
          <cell r="I10">
            <v>4</v>
          </cell>
          <cell r="J10">
            <v>45200</v>
          </cell>
          <cell r="K10">
            <v>74588.875</v>
          </cell>
        </row>
        <row r="11">
          <cell r="D11">
            <v>5</v>
          </cell>
          <cell r="E11">
            <v>45017</v>
          </cell>
          <cell r="F11">
            <v>71952</v>
          </cell>
          <cell r="I11">
            <v>5</v>
          </cell>
          <cell r="J11">
            <v>45200</v>
          </cell>
          <cell r="K11">
            <v>77348.399999999994</v>
          </cell>
        </row>
        <row r="12">
          <cell r="D12">
            <v>0</v>
          </cell>
          <cell r="E12">
            <v>45383</v>
          </cell>
          <cell r="F12">
            <v>64500</v>
          </cell>
          <cell r="I12">
            <v>0</v>
          </cell>
          <cell r="J12">
            <v>45566</v>
          </cell>
          <cell r="K12">
            <v>66757.5</v>
          </cell>
        </row>
        <row r="13">
          <cell r="D13">
            <v>1</v>
          </cell>
          <cell r="E13">
            <v>45383</v>
          </cell>
          <cell r="F13">
            <v>66886.5</v>
          </cell>
          <cell r="I13">
            <v>1</v>
          </cell>
          <cell r="J13">
            <v>45566</v>
          </cell>
          <cell r="K13">
            <v>69227.527499999997</v>
          </cell>
        </row>
        <row r="14">
          <cell r="D14">
            <v>2</v>
          </cell>
          <cell r="E14">
            <v>45383</v>
          </cell>
          <cell r="F14">
            <v>69361.149999999994</v>
          </cell>
          <cell r="I14">
            <v>2</v>
          </cell>
          <cell r="J14">
            <v>45566</v>
          </cell>
          <cell r="K14">
            <v>71788.790249999991</v>
          </cell>
        </row>
        <row r="15">
          <cell r="D15">
            <v>3</v>
          </cell>
          <cell r="E15">
            <v>45383</v>
          </cell>
          <cell r="F15">
            <v>71927.175000000003</v>
          </cell>
          <cell r="I15">
            <v>3</v>
          </cell>
          <cell r="J15">
            <v>45566</v>
          </cell>
          <cell r="K15">
            <v>74444.626124999995</v>
          </cell>
        </row>
        <row r="16">
          <cell r="D16">
            <v>4</v>
          </cell>
          <cell r="E16">
            <v>45383</v>
          </cell>
          <cell r="F16">
            <v>74588.875</v>
          </cell>
          <cell r="I16">
            <v>4</v>
          </cell>
          <cell r="J16">
            <v>45566</v>
          </cell>
          <cell r="K16">
            <v>77199.485625000001</v>
          </cell>
        </row>
        <row r="17">
          <cell r="D17">
            <v>5</v>
          </cell>
          <cell r="E17">
            <v>45383</v>
          </cell>
          <cell r="F17">
            <v>77348.399999999994</v>
          </cell>
          <cell r="I17">
            <v>5</v>
          </cell>
          <cell r="J17">
            <v>45566</v>
          </cell>
          <cell r="K17">
            <v>80055.593999999983</v>
          </cell>
        </row>
        <row r="18">
          <cell r="D18">
            <v>0</v>
          </cell>
          <cell r="E18">
            <v>45748</v>
          </cell>
          <cell r="F18">
            <v>66757.5</v>
          </cell>
          <cell r="I18">
            <v>0</v>
          </cell>
          <cell r="J18">
            <v>45931</v>
          </cell>
          <cell r="K18">
            <v>69094.012499999997</v>
          </cell>
        </row>
        <row r="19">
          <cell r="D19">
            <v>1</v>
          </cell>
          <cell r="E19">
            <v>45748</v>
          </cell>
          <cell r="F19">
            <v>69227.527499999997</v>
          </cell>
          <cell r="I19">
            <v>1</v>
          </cell>
          <cell r="J19">
            <v>45931</v>
          </cell>
          <cell r="K19">
            <v>71650.490962499985</v>
          </cell>
        </row>
        <row r="20">
          <cell r="D20">
            <v>2</v>
          </cell>
          <cell r="E20">
            <v>45748</v>
          </cell>
          <cell r="F20">
            <v>71788.790249999991</v>
          </cell>
          <cell r="I20">
            <v>2</v>
          </cell>
          <cell r="J20">
            <v>45931</v>
          </cell>
          <cell r="K20">
            <v>74301.39790874999</v>
          </cell>
        </row>
        <row r="21">
          <cell r="D21">
            <v>3</v>
          </cell>
          <cell r="E21">
            <v>45748</v>
          </cell>
          <cell r="F21">
            <v>74444.626124999995</v>
          </cell>
          <cell r="I21">
            <v>3</v>
          </cell>
          <cell r="J21">
            <v>45931</v>
          </cell>
          <cell r="K21">
            <v>77050.188039374989</v>
          </cell>
        </row>
        <row r="22">
          <cell r="D22">
            <v>4</v>
          </cell>
          <cell r="E22">
            <v>45748</v>
          </cell>
          <cell r="F22">
            <v>77199.485625000001</v>
          </cell>
          <cell r="I22">
            <v>4</v>
          </cell>
          <cell r="J22">
            <v>45931</v>
          </cell>
          <cell r="K22">
            <v>79901.467621874996</v>
          </cell>
        </row>
        <row r="23">
          <cell r="D23">
            <v>5</v>
          </cell>
          <cell r="E23">
            <v>45748</v>
          </cell>
          <cell r="F23">
            <v>80055.593999999983</v>
          </cell>
          <cell r="I23">
            <v>5</v>
          </cell>
          <cell r="J23">
            <v>45931</v>
          </cell>
          <cell r="K23">
            <v>82857.539789999981</v>
          </cell>
        </row>
        <row r="24">
          <cell r="D24">
            <v>0</v>
          </cell>
          <cell r="E24">
            <v>46113</v>
          </cell>
          <cell r="F24">
            <v>69094.012499999997</v>
          </cell>
          <cell r="I24">
            <v>0</v>
          </cell>
          <cell r="J24">
            <v>46296</v>
          </cell>
          <cell r="K24">
            <v>71512.30293749999</v>
          </cell>
        </row>
        <row r="25">
          <cell r="D25">
            <v>1</v>
          </cell>
          <cell r="E25">
            <v>46113</v>
          </cell>
          <cell r="F25">
            <v>71650.490962499985</v>
          </cell>
          <cell r="I25">
            <v>1</v>
          </cell>
          <cell r="J25">
            <v>46296</v>
          </cell>
          <cell r="K25">
            <v>74158.25814618748</v>
          </cell>
        </row>
        <row r="26">
          <cell r="D26">
            <v>2</v>
          </cell>
          <cell r="E26">
            <v>46113</v>
          </cell>
          <cell r="F26">
            <v>74301.39790874999</v>
          </cell>
          <cell r="I26">
            <v>2</v>
          </cell>
          <cell r="J26">
            <v>46296</v>
          </cell>
          <cell r="K26">
            <v>76901.946835556228</v>
          </cell>
        </row>
        <row r="27">
          <cell r="D27">
            <v>3</v>
          </cell>
          <cell r="E27">
            <v>46113</v>
          </cell>
          <cell r="F27">
            <v>77050.188039374989</v>
          </cell>
          <cell r="I27">
            <v>3</v>
          </cell>
          <cell r="J27">
            <v>46296</v>
          </cell>
          <cell r="K27">
            <v>79746.944620753115</v>
          </cell>
        </row>
        <row r="28">
          <cell r="D28">
            <v>4</v>
          </cell>
          <cell r="E28">
            <v>46113</v>
          </cell>
          <cell r="F28">
            <v>79901.467621874996</v>
          </cell>
          <cell r="I28">
            <v>4</v>
          </cell>
          <cell r="J28">
            <v>46296</v>
          </cell>
          <cell r="K28">
            <v>82698.018988640615</v>
          </cell>
        </row>
        <row r="29">
          <cell r="D29">
            <v>5</v>
          </cell>
          <cell r="E29">
            <v>46113</v>
          </cell>
          <cell r="F29">
            <v>82857.539789999981</v>
          </cell>
          <cell r="I29">
            <v>5</v>
          </cell>
          <cell r="J29">
            <v>46296</v>
          </cell>
          <cell r="K29">
            <v>85757.553682649974</v>
          </cell>
        </row>
        <row r="30">
          <cell r="D30">
            <v>0</v>
          </cell>
          <cell r="E30">
            <v>46478</v>
          </cell>
          <cell r="F30">
            <v>71512.30293749999</v>
          </cell>
          <cell r="I30">
            <v>0</v>
          </cell>
          <cell r="J30">
            <v>46661</v>
          </cell>
          <cell r="K30">
            <v>74015.233540312489</v>
          </cell>
        </row>
        <row r="31">
          <cell r="D31">
            <v>1</v>
          </cell>
          <cell r="E31">
            <v>46478</v>
          </cell>
          <cell r="F31">
            <v>74158.25814618748</v>
          </cell>
          <cell r="I31">
            <v>1</v>
          </cell>
          <cell r="J31">
            <v>46661</v>
          </cell>
          <cell r="K31">
            <v>76753.797181304035</v>
          </cell>
        </row>
        <row r="32">
          <cell r="D32">
            <v>2</v>
          </cell>
          <cell r="E32">
            <v>46478</v>
          </cell>
          <cell r="F32">
            <v>76901.946835556228</v>
          </cell>
          <cell r="I32">
            <v>2</v>
          </cell>
          <cell r="J32">
            <v>46661</v>
          </cell>
          <cell r="K32">
            <v>79593.514974800695</v>
          </cell>
        </row>
        <row r="33">
          <cell r="D33">
            <v>3</v>
          </cell>
          <cell r="E33">
            <v>46478</v>
          </cell>
          <cell r="F33">
            <v>79746.944620753115</v>
          </cell>
          <cell r="I33">
            <v>3</v>
          </cell>
          <cell r="J33">
            <v>46661</v>
          </cell>
          <cell r="K33">
            <v>82538.087682479469</v>
          </cell>
        </row>
        <row r="34">
          <cell r="D34">
            <v>4</v>
          </cell>
          <cell r="E34">
            <v>46478</v>
          </cell>
          <cell r="F34">
            <v>82698.018988640615</v>
          </cell>
          <cell r="I34">
            <v>4</v>
          </cell>
          <cell r="J34">
            <v>46661</v>
          </cell>
          <cell r="K34">
            <v>85592.449653243035</v>
          </cell>
        </row>
        <row r="35">
          <cell r="D35">
            <v>5</v>
          </cell>
          <cell r="E35">
            <v>46478</v>
          </cell>
          <cell r="F35">
            <v>85757.553682649974</v>
          </cell>
          <cell r="I35">
            <v>5</v>
          </cell>
          <cell r="J35">
            <v>46661</v>
          </cell>
          <cell r="K35">
            <v>88759.068061542712</v>
          </cell>
        </row>
        <row r="36">
          <cell r="D36">
            <v>0</v>
          </cell>
          <cell r="E36">
            <v>46844</v>
          </cell>
          <cell r="F36">
            <v>74015.233540312489</v>
          </cell>
        </row>
        <row r="37">
          <cell r="D37">
            <v>1</v>
          </cell>
          <cell r="E37">
            <v>46844</v>
          </cell>
          <cell r="F37">
            <v>76753.797181304035</v>
          </cell>
        </row>
        <row r="38">
          <cell r="D38">
            <v>2</v>
          </cell>
          <cell r="E38">
            <v>46844</v>
          </cell>
          <cell r="F38">
            <v>79593.514974800695</v>
          </cell>
        </row>
        <row r="39">
          <cell r="D39">
            <v>3</v>
          </cell>
          <cell r="E39">
            <v>46844</v>
          </cell>
          <cell r="F39">
            <v>82538.087682479469</v>
          </cell>
        </row>
        <row r="40">
          <cell r="D40">
            <v>4</v>
          </cell>
          <cell r="E40">
            <v>46844</v>
          </cell>
          <cell r="F40">
            <v>85592.449653243035</v>
          </cell>
        </row>
        <row r="41">
          <cell r="D41">
            <v>5</v>
          </cell>
          <cell r="E41">
            <v>46844</v>
          </cell>
          <cell r="F41">
            <v>88759.068061542712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ESLIE GOLDSTEIN" id="{02D8D12A-117F-4EC3-8E1C-CAF4D028A703}" userId="S::lgolds@BERKELEY.EDU::fba743a0-eaae-4ec8-9099-d1f40bdecd4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18" dT="2023-02-27T15:04:24.08" personId="{02D8D12A-117F-4EC3-8E1C-CAF4D028A703}" id="{757BBFEC-2AE6-408E-8F9B-851C4463BCA2}">
    <text>*If Monthly Salary is greater than $5.996 then select Blank and enter Monthly Salary in Year 1 Cell column G Box.</text>
  </threadedComment>
  <threadedComment ref="F121" dT="2023-02-27T15:04:24.08" personId="{02D8D12A-117F-4EC3-8E1C-CAF4D028A703}" id="{CEF59831-6F3B-42C2-B7B5-BA21FEF23130}">
    <text>*If Monthly Salary is greater than $5.996 then select Blank and enter Monthly Salary in Year 1 Cell column G Box.</text>
  </threadedComment>
  <threadedComment ref="F124" dT="2023-02-27T15:04:24.08" personId="{02D8D12A-117F-4EC3-8E1C-CAF4D028A703}" id="{9DB408C7-8EE5-441A-842C-0E57C9059AD9}">
    <text>*If Monthly Salary is greater than $5.996 then select Blank and enter Monthly Salary in Year 1 Cell column G Box.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controller.berkeley.edu/ucrp-supplemental-interest-assessment" TargetMode="External"/><Relationship Id="rId1" Type="http://schemas.openxmlformats.org/officeDocument/2006/relationships/hyperlink" Target="https://docs.google.com/document/d/1eEsZ9l-hslD50mJ8KVNSD--wB8qdSiZHkJfJxU2_Akk/edit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9"/>
  </sheetPr>
  <dimension ref="A1:P239"/>
  <sheetViews>
    <sheetView tabSelected="1" zoomScaleNormal="100" workbookViewId="0">
      <selection activeCell="D3" sqref="D3"/>
    </sheetView>
  </sheetViews>
  <sheetFormatPr defaultRowHeight="12.75" x14ac:dyDescent="0.2"/>
  <cols>
    <col min="1" max="1" width="11" customWidth="1"/>
    <col min="2" max="2" width="21.5703125" customWidth="1"/>
    <col min="3" max="3" width="34.5703125" customWidth="1"/>
    <col min="4" max="4" width="13.5703125" customWidth="1"/>
    <col min="5" max="5" width="7.7109375" customWidth="1"/>
    <col min="6" max="6" width="18.42578125" customWidth="1"/>
    <col min="7" max="7" width="13" customWidth="1"/>
    <col min="8" max="8" width="14.28515625" customWidth="1"/>
    <col min="11" max="11" width="20.42578125" bestFit="1" customWidth="1"/>
  </cols>
  <sheetData>
    <row r="1" spans="1:11" ht="15" x14ac:dyDescent="0.2">
      <c r="C1" s="1"/>
      <c r="D1" s="1"/>
      <c r="F1" s="75" t="s">
        <v>0</v>
      </c>
    </row>
    <row r="2" spans="1:11" ht="18" x14ac:dyDescent="0.25">
      <c r="C2" s="1"/>
      <c r="D2" s="1"/>
      <c r="F2" s="76" t="s">
        <v>159</v>
      </c>
    </row>
    <row r="3" spans="1:11" ht="15" x14ac:dyDescent="0.2">
      <c r="C3" s="1"/>
      <c r="D3" s="1"/>
    </row>
    <row r="4" spans="1:11" x14ac:dyDescent="0.2">
      <c r="H4" s="320" t="s">
        <v>1384</v>
      </c>
    </row>
    <row r="5" spans="1:11" x14ac:dyDescent="0.2">
      <c r="H5" s="207"/>
    </row>
    <row r="6" spans="1:11" x14ac:dyDescent="0.2">
      <c r="A6" s="224" t="s">
        <v>1</v>
      </c>
      <c r="B6" s="225"/>
      <c r="C6" s="450"/>
      <c r="D6" s="211"/>
      <c r="E6" s="211"/>
      <c r="F6" s="211"/>
      <c r="G6" s="230" t="s">
        <v>201</v>
      </c>
      <c r="H6" s="212">
        <v>46204</v>
      </c>
      <c r="K6" s="108"/>
    </row>
    <row r="7" spans="1:11" x14ac:dyDescent="0.2">
      <c r="A7" s="224" t="s">
        <v>2</v>
      </c>
      <c r="B7" s="450"/>
      <c r="C7" s="211"/>
      <c r="D7" s="211"/>
      <c r="E7" s="211"/>
      <c r="F7" s="211"/>
      <c r="G7" s="230" t="s">
        <v>202</v>
      </c>
      <c r="H7" s="231">
        <f>IF(H8=5,DATE(YEAR(H6)+5,MONTH(H6)-1+1,0),IF(H8=4,DATE(YEAR(H6)+4,MONTH(H6)-1+1,0),IF(H8=3,DATE(YEAR(H6)+3,MONTH(H6)-1+1,0),IF(H8=2,DATE(YEAR(H6)+2,MONTH(H6)-1+1,0),IF(H8=1,DATE(YEAR(H6)+1,MONTH(H6)-1+1,0))))))</f>
        <v>48029</v>
      </c>
    </row>
    <row r="8" spans="1:11" x14ac:dyDescent="0.2">
      <c r="A8" s="224" t="s">
        <v>76</v>
      </c>
      <c r="B8" s="226">
        <f>H6</f>
        <v>46204</v>
      </c>
      <c r="C8" s="228" t="s">
        <v>203</v>
      </c>
      <c r="D8" s="226">
        <f>DATE(YEAR(H6)+1,MONTH(H6)-1+1,0)</f>
        <v>46568</v>
      </c>
      <c r="E8" s="229"/>
      <c r="F8" s="229"/>
      <c r="G8" s="229" t="s">
        <v>207</v>
      </c>
      <c r="H8" s="242">
        <v>5</v>
      </c>
    </row>
    <row r="9" spans="1:11" x14ac:dyDescent="0.2">
      <c r="A9" s="224" t="s">
        <v>3</v>
      </c>
      <c r="B9" s="227"/>
      <c r="C9" s="242" t="s">
        <v>1321</v>
      </c>
      <c r="D9" s="227"/>
      <c r="E9" s="230"/>
      <c r="F9" s="229"/>
      <c r="G9" s="229"/>
      <c r="H9" s="232"/>
    </row>
    <row r="10" spans="1:11" x14ac:dyDescent="0.2">
      <c r="A10" s="224" t="s">
        <v>200</v>
      </c>
      <c r="B10" s="225"/>
      <c r="C10" s="242" t="s">
        <v>102</v>
      </c>
      <c r="D10" s="242" t="s">
        <v>1199</v>
      </c>
      <c r="E10" s="539" t="s">
        <v>1320</v>
      </c>
      <c r="F10" s="539"/>
      <c r="G10" s="557"/>
      <c r="H10" s="558"/>
    </row>
    <row r="11" spans="1:11" ht="26.25" customHeight="1" x14ac:dyDescent="0.2">
      <c r="A11" s="3" t="s">
        <v>5</v>
      </c>
      <c r="B11" s="464" t="s">
        <v>1191</v>
      </c>
      <c r="D11" s="426" t="s">
        <v>1186</v>
      </c>
      <c r="E11" s="71" t="s">
        <v>6</v>
      </c>
      <c r="F11" s="71" t="s">
        <v>198</v>
      </c>
      <c r="G11" s="71" t="s">
        <v>7</v>
      </c>
      <c r="H11" s="72" t="s">
        <v>8</v>
      </c>
    </row>
    <row r="12" spans="1:11" x14ac:dyDescent="0.2">
      <c r="A12" s="4" t="s">
        <v>4</v>
      </c>
      <c r="B12" s="242" t="s">
        <v>543</v>
      </c>
      <c r="C12" s="242" t="s">
        <v>110</v>
      </c>
      <c r="D12" s="242" t="s">
        <v>1189</v>
      </c>
      <c r="E12" s="213"/>
      <c r="F12" s="214"/>
      <c r="G12" s="215">
        <v>1</v>
      </c>
      <c r="H12" s="11">
        <f>IF(AND($D$12="Yes",$F$12&gt;=Reference!$L$2),Reference!$L$2*$E$12*$G$12,(Year1!$E$12*Year1!$F$12*Year1!$G$12))</f>
        <v>0</v>
      </c>
    </row>
    <row r="13" spans="1:11" x14ac:dyDescent="0.2">
      <c r="A13" s="5"/>
      <c r="B13" s="323" t="s">
        <v>543</v>
      </c>
      <c r="C13" s="242" t="s">
        <v>110</v>
      </c>
      <c r="D13" s="242" t="s">
        <v>1189</v>
      </c>
      <c r="E13" s="213"/>
      <c r="F13" s="214"/>
      <c r="G13" s="215">
        <v>1</v>
      </c>
      <c r="H13" s="11">
        <f>IF(AND($D$13="Yes",$F$13&gt;=Reference!$L$2),Reference!$L$2*$E$13*$G$13,(Year1!$E$13*Year1!$F$13*Year1!$G$13))</f>
        <v>0</v>
      </c>
    </row>
    <row r="14" spans="1:11" x14ac:dyDescent="0.2">
      <c r="A14" s="5"/>
      <c r="B14" s="323" t="s">
        <v>543</v>
      </c>
      <c r="C14" s="242" t="s">
        <v>110</v>
      </c>
      <c r="D14" s="242" t="s">
        <v>1189</v>
      </c>
      <c r="E14" s="213"/>
      <c r="F14" s="214"/>
      <c r="G14" s="215">
        <v>1</v>
      </c>
      <c r="H14" s="11">
        <f>IF(AND($D$14="Yes",$F$14&gt;=Reference!$L$2),Reference!$L$2*$E$14*$G$14,(Year1!$E$14*Year1!$F$14*Year1!$G$14))</f>
        <v>0</v>
      </c>
    </row>
    <row r="15" spans="1:11" x14ac:dyDescent="0.2">
      <c r="A15" s="5"/>
      <c r="B15" s="323" t="s">
        <v>543</v>
      </c>
      <c r="C15" s="242" t="s">
        <v>110</v>
      </c>
      <c r="D15" s="242" t="s">
        <v>1189</v>
      </c>
      <c r="E15" s="213"/>
      <c r="F15" s="214"/>
      <c r="G15" s="215">
        <v>1</v>
      </c>
      <c r="H15" s="11">
        <f>IF(AND($D$15="Yes",$F$15&gt;=Reference!$L$2),Reference!$L$2*$E$15*$G$15,(Year1!$E$15*Year1!$F$15*Year1!$G$15))</f>
        <v>0</v>
      </c>
    </row>
    <row r="16" spans="1:11" x14ac:dyDescent="0.2">
      <c r="A16" s="5"/>
      <c r="B16" s="323" t="s">
        <v>543</v>
      </c>
      <c r="C16" s="242" t="s">
        <v>110</v>
      </c>
      <c r="D16" s="242" t="s">
        <v>1189</v>
      </c>
      <c r="E16" s="213"/>
      <c r="F16" s="214"/>
      <c r="G16" s="215">
        <v>1</v>
      </c>
      <c r="H16" s="11">
        <f>IF(AND($D$16="Yes",$F$16&gt;=Reference!$L$2),Reference!$L$2*$E$16*$G$16,(Year1!$E$16*Year1!$F$16*Year1!$G$16))</f>
        <v>0</v>
      </c>
    </row>
    <row r="17" spans="1:11" x14ac:dyDescent="0.2">
      <c r="A17" s="5"/>
      <c r="B17" s="323" t="s">
        <v>543</v>
      </c>
      <c r="C17" s="242" t="s">
        <v>110</v>
      </c>
      <c r="D17" s="242" t="s">
        <v>1189</v>
      </c>
      <c r="E17" s="213"/>
      <c r="F17" s="214"/>
      <c r="G17" s="215">
        <v>1</v>
      </c>
      <c r="H17" s="11">
        <f>IF(AND($D$17="Yes",$F$17&gt;=Reference!$L$2),Reference!$L$2*$E$17*$G$17,(Year1!$E$17*Year1!$F$17*Year1!$G$17))</f>
        <v>0</v>
      </c>
    </row>
    <row r="18" spans="1:11" x14ac:dyDescent="0.2">
      <c r="A18" s="74"/>
      <c r="B18" s="323" t="s">
        <v>543</v>
      </c>
      <c r="C18" s="242" t="s">
        <v>110</v>
      </c>
      <c r="D18" s="242" t="s">
        <v>1189</v>
      </c>
      <c r="E18" s="213"/>
      <c r="F18" s="214"/>
      <c r="G18" s="215">
        <v>1</v>
      </c>
      <c r="H18" s="11">
        <f>IF(AND($D$18="Yes",$F$18&gt;=Reference!$L$2),Reference!$L$2*$E$18*$G$18,(Year1!$E$18*Year1!$F$18*Year1!$G$18))</f>
        <v>0</v>
      </c>
    </row>
    <row r="19" spans="1:11" x14ac:dyDescent="0.2">
      <c r="A19" s="5"/>
      <c r="B19" s="323" t="s">
        <v>1185</v>
      </c>
      <c r="C19" s="242" t="s">
        <v>110</v>
      </c>
      <c r="D19" s="242" t="s">
        <v>1189</v>
      </c>
      <c r="E19" s="213"/>
      <c r="F19" s="214"/>
      <c r="G19" s="215">
        <v>1</v>
      </c>
      <c r="H19" s="11">
        <f>IF(AND($D$19="Yes",$F$19&gt;=Reference!$L$2),Reference!$L$2*$E$19*$G$19,(Year1!$E$19*Year1!$F$19*Year1!$G$19))</f>
        <v>0</v>
      </c>
    </row>
    <row r="20" spans="1:11" x14ac:dyDescent="0.2">
      <c r="A20" s="74"/>
      <c r="B20" s="323" t="s">
        <v>1185</v>
      </c>
      <c r="C20" s="242" t="s">
        <v>110</v>
      </c>
      <c r="D20" s="242" t="s">
        <v>1189</v>
      </c>
      <c r="E20" s="213"/>
      <c r="F20" s="214"/>
      <c r="G20" s="215">
        <v>1</v>
      </c>
      <c r="H20" s="11">
        <f>IF(AND($D$20="Yes",$F$20&gt;=Reference!$L$2),Reference!$L$2*$E$20*$G$20,(Year1!$E$20*Year1!$F$20*Year1!$G$20))</f>
        <v>0</v>
      </c>
    </row>
    <row r="21" spans="1:11" x14ac:dyDescent="0.2">
      <c r="A21" s="5"/>
      <c r="B21" s="323" t="s">
        <v>1184</v>
      </c>
      <c r="C21" s="242" t="s">
        <v>110</v>
      </c>
      <c r="D21" s="242" t="s">
        <v>1189</v>
      </c>
      <c r="E21" s="213"/>
      <c r="F21" s="214"/>
      <c r="G21" s="215">
        <v>1</v>
      </c>
      <c r="H21" s="11">
        <f>IF(AND($D$21="Yes",$F$21&gt;=Reference!$L$2),Reference!$L$2*$E$21*$G$21,(Year1!$E$21*Year1!$F$21*Year1!$G$21))</f>
        <v>0</v>
      </c>
    </row>
    <row r="22" spans="1:11" x14ac:dyDescent="0.2">
      <c r="A22" s="5"/>
      <c r="B22" s="323" t="s">
        <v>1184</v>
      </c>
      <c r="C22" s="242" t="s">
        <v>110</v>
      </c>
      <c r="D22" s="242" t="s">
        <v>1189</v>
      </c>
      <c r="E22" s="213"/>
      <c r="F22" s="214"/>
      <c r="G22" s="215">
        <v>1</v>
      </c>
      <c r="H22" s="11">
        <f>IF(AND($D$22="Yes",$F$22&gt;=Reference!$L$2),Reference!$L$2*$E$22*$G$22,(Year1!$E$22*Year1!$F$22*Year1!$G$22))</f>
        <v>0</v>
      </c>
      <c r="K22" s="12"/>
    </row>
    <row r="23" spans="1:11" x14ac:dyDescent="0.2">
      <c r="A23" s="5"/>
      <c r="C23" s="6"/>
      <c r="D23" s="6"/>
      <c r="E23" s="6"/>
      <c r="F23" s="6"/>
      <c r="G23" s="6" t="s">
        <v>9</v>
      </c>
      <c r="H23" s="10">
        <f>SUM(H12:H22)</f>
        <v>0</v>
      </c>
    </row>
    <row r="24" spans="1:11" x14ac:dyDescent="0.2">
      <c r="A24" s="4" t="s">
        <v>10</v>
      </c>
      <c r="H24" s="9"/>
    </row>
    <row r="25" spans="1:11" x14ac:dyDescent="0.2">
      <c r="A25" s="5"/>
      <c r="B25" s="13" t="s">
        <v>11</v>
      </c>
      <c r="C25" s="422">
        <v>0</v>
      </c>
      <c r="D25" s="435"/>
      <c r="E25" s="6"/>
      <c r="F25" s="6"/>
      <c r="G25" s="439" t="s">
        <v>1124</v>
      </c>
      <c r="H25" s="438"/>
    </row>
    <row r="26" spans="1:11" x14ac:dyDescent="0.2">
      <c r="A26" s="5"/>
      <c r="B26" s="6"/>
      <c r="C26" s="243" t="s">
        <v>735</v>
      </c>
      <c r="D26" s="244"/>
      <c r="E26" s="6"/>
      <c r="F26" s="6"/>
      <c r="G26" s="6" t="s">
        <v>1029</v>
      </c>
      <c r="H26" s="11"/>
    </row>
    <row r="27" spans="1:11" x14ac:dyDescent="0.2">
      <c r="A27" s="5"/>
      <c r="B27" s="85" t="str">
        <f>IF(OR(C27="August",C27="July - August",C27="June",C27="June - August",C27="June - July"),"Summer","Academic")</f>
        <v>Summer</v>
      </c>
      <c r="C27" s="229" t="str">
        <f>INDEX(period_1,MATCH(Grid!K1,Begin_month))</f>
        <v>July - August</v>
      </c>
      <c r="D27" s="230" t="str">
        <f t="array" ref="D27">INDEX(Academic_Year,MATCH($H$6&amp;$C$27,DATE_COLUMN&amp;Calendar_Months,0))</f>
        <v>2025-2026</v>
      </c>
      <c r="E27" s="60">
        <f>INDEX(Number_Months,MATCH(C27,Time_Periods,0))</f>
        <v>2</v>
      </c>
      <c r="F27" s="240" cm="1">
        <f t="array" ref="F27">INDEX(Salary,MATCH(C26&amp;D27,Range1&amp;Range2,0))</f>
        <v>6129</v>
      </c>
      <c r="G27" s="420">
        <v>0.5</v>
      </c>
      <c r="H27" s="11">
        <f>C25*E27*F27*G27</f>
        <v>0</v>
      </c>
      <c r="K27" s="108"/>
    </row>
    <row r="28" spans="1:11" x14ac:dyDescent="0.2">
      <c r="A28" s="5"/>
      <c r="B28" s="85" t="str">
        <f>IF(OR(C28="August",C28="July - August",C28="June",C28="June - August",C28="June - July"),"Summer","Academic")</f>
        <v>Academic</v>
      </c>
      <c r="C28" s="229" t="str">
        <f>INDEX(Period_2,MATCH(Grid!$K$1,Begin_month))</f>
        <v>September</v>
      </c>
      <c r="D28" s="229" t="str">
        <f t="array" ref="D28">INDEX(Academic_Year,MATCH($H$6&amp;$C$28,DATE_COLUMN&amp;Calendar_Months,0))</f>
        <v>2025-2026</v>
      </c>
      <c r="E28" s="60">
        <f>INDEX(Number_Months,MATCH(C28,Time_Periods,0))</f>
        <v>1</v>
      </c>
      <c r="F28" s="240">
        <f t="array" ref="F28">INDEX(Salary,MATCH(C26&amp;D28,Range1&amp;Range2,0))</f>
        <v>6129</v>
      </c>
      <c r="G28" s="420">
        <v>0.5</v>
      </c>
      <c r="H28" s="11">
        <f>C25*E28*F28*G28</f>
        <v>0</v>
      </c>
      <c r="K28" s="6"/>
    </row>
    <row r="29" spans="1:11" x14ac:dyDescent="0.2">
      <c r="A29" s="5"/>
      <c r="B29" s="85" t="str">
        <f>IF(OR(C29="August",C29="July - August",C29="June",C29="June - August",C29="June - July"),"Summer","Academic")</f>
        <v>Academic</v>
      </c>
      <c r="C29" s="229" t="str">
        <f>INDEX(Period_3,MATCH(Grid!$K$1,Begin_month))</f>
        <v>October - December</v>
      </c>
      <c r="D29" s="229" t="str">
        <f t="array" ref="D29">INDEX(Academic_Year,MATCH($H$6&amp;$C$29,DATE_COLUMN&amp;Calendar_Months,0))</f>
        <v>2026-2027</v>
      </c>
      <c r="E29" s="60">
        <f>INDEX(Number_Months,MATCH(C29,Time_Periods,0))</f>
        <v>3</v>
      </c>
      <c r="F29" s="240">
        <f t="array" ref="F29">INDEX(Salary,MATCH(C26&amp;D29,Range1&amp;Range2,0))</f>
        <v>6521</v>
      </c>
      <c r="G29" s="420">
        <v>0.5</v>
      </c>
      <c r="H29" s="11">
        <f>C25*E29*F29*G29</f>
        <v>0</v>
      </c>
    </row>
    <row r="30" spans="1:11" x14ac:dyDescent="0.2">
      <c r="A30" s="5"/>
      <c r="B30" s="85" t="str">
        <f>IF(OR(C30="August",C30="July - August",C30="June",C30="June - August",C30="June - July"),"Summer","Academic")</f>
        <v>Academic</v>
      </c>
      <c r="C30" s="229" t="str">
        <f>INDEX(Period_4,MATCH(Grid!$K$1,Begin_month))</f>
        <v>January - May</v>
      </c>
      <c r="D30" s="229" t="str">
        <f t="array" ref="D30">INDEX(Academic_Year,MATCH($H$6&amp;$C$30,DATE_COLUMN&amp;Calendar_Months,0))</f>
        <v>2026-2027</v>
      </c>
      <c r="E30" s="60">
        <f>INDEX(Number_Months,MATCH(C30,Time_Periods,0))</f>
        <v>5</v>
      </c>
      <c r="F30" s="240">
        <f t="array" ref="F30">INDEX(Salary,MATCH(C26&amp;D30,Range1&amp;Range2,0))</f>
        <v>6521</v>
      </c>
      <c r="G30" s="420">
        <v>0.5</v>
      </c>
      <c r="H30" s="11">
        <f>C25*E30*F30*G30</f>
        <v>0</v>
      </c>
    </row>
    <row r="31" spans="1:11" x14ac:dyDescent="0.2">
      <c r="A31" s="5"/>
      <c r="B31" s="85" t="str">
        <f>IF(OR(C31="August",C31="July - August",C31="June",C31="June - August",C31="June - July"),"Summer","Academic")</f>
        <v>Summer</v>
      </c>
      <c r="C31" s="229" t="str">
        <f>INDEX(Period_5,MATCH(Grid!$K$1,Begin_month))</f>
        <v>June</v>
      </c>
      <c r="D31" s="229" t="str">
        <f t="array" ref="D31">INDEX(Academic_Year,MATCH($H$6&amp;$C$31,DATE_COLUMN&amp;Calendar_Months,0))</f>
        <v>2026-2027</v>
      </c>
      <c r="E31" s="60">
        <f>INDEX(Number_Months,MATCH(C31,Time_Periods,0))</f>
        <v>1</v>
      </c>
      <c r="F31" s="240">
        <f t="array" ref="F31">INDEX(Salary,MATCH(C26&amp;D31,Range1&amp;Range2,0))</f>
        <v>6521</v>
      </c>
      <c r="G31" s="420">
        <v>0.5</v>
      </c>
      <c r="H31" s="11">
        <f>C25*E31*F31*G31</f>
        <v>0</v>
      </c>
    </row>
    <row r="32" spans="1:11" x14ac:dyDescent="0.2">
      <c r="A32" s="5"/>
      <c r="B32" s="6"/>
      <c r="C32" s="6"/>
      <c r="D32" s="6"/>
      <c r="E32" s="60">
        <f>SUM(E27:E31)</f>
        <v>12</v>
      </c>
      <c r="F32" s="423"/>
      <c r="G32" s="59" t="s">
        <v>9</v>
      </c>
      <c r="H32" s="58">
        <f>SUM(H27:H31)</f>
        <v>0</v>
      </c>
    </row>
    <row r="33" spans="1:8" x14ac:dyDescent="0.2">
      <c r="A33" s="5"/>
      <c r="B33" s="13" t="s">
        <v>11</v>
      </c>
      <c r="C33" s="422">
        <v>0</v>
      </c>
      <c r="D33" s="217"/>
      <c r="E33" s="6"/>
      <c r="F33" s="41"/>
      <c r="G33" s="6"/>
      <c r="H33" s="11"/>
    </row>
    <row r="34" spans="1:8" x14ac:dyDescent="0.2">
      <c r="A34" s="5"/>
      <c r="B34" s="6"/>
      <c r="C34" s="243" t="s">
        <v>739</v>
      </c>
      <c r="D34" s="244"/>
      <c r="E34" s="6"/>
      <c r="F34" s="41"/>
      <c r="G34" s="6"/>
      <c r="H34" s="11"/>
    </row>
    <row r="35" spans="1:8" x14ac:dyDescent="0.2">
      <c r="A35" s="5"/>
      <c r="B35" s="85" t="str">
        <f>IF(OR(C35="August",C35="July - August",C35="June",C35="June - August",C35="June - July"),"Summer","Academic")</f>
        <v>Summer</v>
      </c>
      <c r="C35" s="229" t="str">
        <f>INDEX(period_1,MATCH(Grid!$K$1,Begin_month))</f>
        <v>July - August</v>
      </c>
      <c r="D35" s="230" t="str">
        <f t="array" ref="D35">INDEX(Academic_Year,MATCH($H$6&amp;$C$35,DATE_COLUMN&amp;Calendar_Months,0))</f>
        <v>2025-2026</v>
      </c>
      <c r="E35" s="60">
        <f>INDEX(Number_Months,MATCH(C35,Time_Periods,0))</f>
        <v>2</v>
      </c>
      <c r="F35" s="240">
        <f t="array" ref="F35">INDEX(Salary,MATCH(C34&amp;D35,Range1&amp;Range2,0))</f>
        <v>8903</v>
      </c>
      <c r="G35" s="420">
        <v>0.5</v>
      </c>
      <c r="H35" s="11">
        <f>C33*E35*F35*G35</f>
        <v>0</v>
      </c>
    </row>
    <row r="36" spans="1:8" x14ac:dyDescent="0.2">
      <c r="A36" s="5"/>
      <c r="B36" s="85" t="str">
        <f>IF(OR(C36="August",C36="July - August",C36="June",C36="June - August",C36="June - July"),"Summer","Academic")</f>
        <v>Academic</v>
      </c>
      <c r="C36" s="229" t="str">
        <f>INDEX(Period_2,MATCH(Grid!$K$1,Begin_month))</f>
        <v>September</v>
      </c>
      <c r="D36" s="229" t="str">
        <f t="array" ref="D36">INDEX(Academic_Year,MATCH($H$6&amp;$C$36,DATE_COLUMN&amp;Calendar_Months,0))</f>
        <v>2025-2026</v>
      </c>
      <c r="E36" s="60">
        <f>INDEX(Number_Months,MATCH(C36,Time_Periods,0))</f>
        <v>1</v>
      </c>
      <c r="F36" s="240">
        <f t="array" ref="F36">INDEX(Salary,MATCH(C34&amp;D36,Range1&amp;Range2,0))</f>
        <v>8903</v>
      </c>
      <c r="G36" s="420">
        <v>0.5</v>
      </c>
      <c r="H36" s="11">
        <f>C33*E36*F36*G36</f>
        <v>0</v>
      </c>
    </row>
    <row r="37" spans="1:8" x14ac:dyDescent="0.2">
      <c r="A37" s="5"/>
      <c r="B37" s="85" t="str">
        <f>IF(OR(C37="August",C37="July - August",C37="June",C37="June - August",C37="June - July"),"Summer","Academic")</f>
        <v>Academic</v>
      </c>
      <c r="C37" s="229" t="str">
        <f>INDEX(Period_3,MATCH(Grid!$K$1,Begin_month))</f>
        <v>October - December</v>
      </c>
      <c r="D37" s="229" t="str">
        <f t="array" ref="D37">INDEX(Academic_Year,MATCH($H$6&amp;$C$37,DATE_COLUMN&amp;Calendar_Months,0))</f>
        <v>2026-2027</v>
      </c>
      <c r="E37" s="60">
        <f>INDEX(Number_Months,MATCH(C37,Time_Periods,0))</f>
        <v>3</v>
      </c>
      <c r="F37" s="240">
        <f t="array" ref="F37">INDEX(Salary,MATCH(C34&amp;D37,Range1&amp;Range2,0))</f>
        <v>9473</v>
      </c>
      <c r="G37" s="420">
        <v>0.5</v>
      </c>
      <c r="H37" s="11">
        <f>C33*E37*F37*G37</f>
        <v>0</v>
      </c>
    </row>
    <row r="38" spans="1:8" x14ac:dyDescent="0.2">
      <c r="A38" s="5"/>
      <c r="B38" s="85" t="str">
        <f>IF(OR(C38="August",C38="July - August",C38="June",C38="June - August",C38="June - July"),"Summer","Academic")</f>
        <v>Academic</v>
      </c>
      <c r="C38" s="229" t="str">
        <f>INDEX(Period_4,MATCH(Grid!$K$1,Begin_month))</f>
        <v>January - May</v>
      </c>
      <c r="D38" s="229" t="str">
        <f t="array" ref="D38">INDEX(Academic_Year,MATCH($H$6&amp;$C$38,DATE_COLUMN&amp;Calendar_Months,0))</f>
        <v>2026-2027</v>
      </c>
      <c r="E38" s="60">
        <f>INDEX(Number_Months,MATCH(C38,Time_Periods,0))</f>
        <v>5</v>
      </c>
      <c r="F38" s="240">
        <f t="array" ref="F38">INDEX(Salary,MATCH(C34&amp;D38,Range1&amp;Range2,0))</f>
        <v>9473</v>
      </c>
      <c r="G38" s="420">
        <v>0.5</v>
      </c>
      <c r="H38" s="11">
        <f>C33*E38*F38*G38</f>
        <v>0</v>
      </c>
    </row>
    <row r="39" spans="1:8" x14ac:dyDescent="0.2">
      <c r="A39" s="5"/>
      <c r="B39" s="85" t="str">
        <f>IF(OR(C39="August",C39="July - August",C39="June",C39="June - August",C39="June - July"),"Summer","Academic")</f>
        <v>Summer</v>
      </c>
      <c r="C39" s="229" t="str">
        <f>INDEX(Period_5,MATCH(Grid!$K$1,Begin_month))</f>
        <v>June</v>
      </c>
      <c r="D39" s="229" t="str">
        <f t="array" ref="D39">INDEX(Academic_Year,MATCH($H$6&amp;$C$39,DATE_COLUMN&amp;Calendar_Months,0))</f>
        <v>2026-2027</v>
      </c>
      <c r="E39" s="60">
        <f>INDEX(Number_Months,MATCH(C39,Time_Periods,0))</f>
        <v>1</v>
      </c>
      <c r="F39" s="240">
        <f t="array" ref="F39">INDEX(Salary,MATCH(C34&amp;D39,Range1&amp;Range2,0))</f>
        <v>9473</v>
      </c>
      <c r="G39" s="420">
        <v>0.5</v>
      </c>
      <c r="H39" s="11">
        <f>C33*E39*F39*G39</f>
        <v>0</v>
      </c>
    </row>
    <row r="40" spans="1:8" x14ac:dyDescent="0.2">
      <c r="A40" s="5"/>
      <c r="B40" s="6"/>
      <c r="C40" s="6"/>
      <c r="D40" s="6"/>
      <c r="E40" s="60">
        <f>SUM(E35:E39)</f>
        <v>12</v>
      </c>
      <c r="F40" s="22"/>
      <c r="G40" s="22" t="s">
        <v>9</v>
      </c>
      <c r="H40" s="58">
        <f>SUM(H35:H39)</f>
        <v>0</v>
      </c>
    </row>
    <row r="41" spans="1:8" x14ac:dyDescent="0.2">
      <c r="A41" s="5"/>
      <c r="B41" s="13" t="s">
        <v>11</v>
      </c>
      <c r="C41" s="422">
        <v>0</v>
      </c>
      <c r="D41" s="217"/>
      <c r="E41" s="6"/>
      <c r="F41" s="41"/>
      <c r="G41" s="6"/>
      <c r="H41" s="11"/>
    </row>
    <row r="42" spans="1:8" x14ac:dyDescent="0.2">
      <c r="A42" s="5"/>
      <c r="B42" s="6"/>
      <c r="C42" s="243" t="s">
        <v>735</v>
      </c>
      <c r="D42" s="244"/>
      <c r="E42" s="6"/>
      <c r="F42" s="41"/>
      <c r="G42" s="6"/>
      <c r="H42" s="11"/>
    </row>
    <row r="43" spans="1:8" x14ac:dyDescent="0.2">
      <c r="A43" s="5"/>
      <c r="B43" s="85" t="str">
        <f>IF(OR(C43="August",C43="July - August",C43="June",C43="June - August",C43="June - July"),"Summer","Academic")</f>
        <v>Summer</v>
      </c>
      <c r="C43" s="229" t="str">
        <f>INDEX(period_1,MATCH(Grid!$K$1,Begin_month))</f>
        <v>July - August</v>
      </c>
      <c r="D43" s="230" t="str">
        <f t="array" ref="D43">INDEX(Academic_Year,MATCH($H$6&amp;$C$35,DATE_COLUMN&amp;Calendar_Months,0))</f>
        <v>2025-2026</v>
      </c>
      <c r="E43" s="60">
        <f>INDEX(Number_Months,MATCH(C43,Time_Periods,0))</f>
        <v>2</v>
      </c>
      <c r="F43" s="240">
        <f t="array" ref="F43">INDEX(Salary,MATCH(C42&amp;D43,Range1&amp;Range2,0))</f>
        <v>6129</v>
      </c>
      <c r="G43" s="420">
        <v>0.5</v>
      </c>
      <c r="H43" s="11">
        <f>C41*E43*F43*G43</f>
        <v>0</v>
      </c>
    </row>
    <row r="44" spans="1:8" x14ac:dyDescent="0.2">
      <c r="A44" s="5"/>
      <c r="B44" s="85" t="str">
        <f>IF(OR(C44="August",C44="July - August",C44="June",C44="June - August",C44="June - July"),"Summer","Academic")</f>
        <v>Academic</v>
      </c>
      <c r="C44" s="229" t="str">
        <f>INDEX(Period_2,MATCH(Grid!$K$1,Begin_month))</f>
        <v>September</v>
      </c>
      <c r="D44" s="229" t="str">
        <f t="array" ref="D44">INDEX(Academic_Year,MATCH($H$6&amp;$C$36,DATE_COLUMN&amp;Calendar_Months,0))</f>
        <v>2025-2026</v>
      </c>
      <c r="E44" s="60">
        <f>INDEX(Number_Months,MATCH(C44,Time_Periods,0))</f>
        <v>1</v>
      </c>
      <c r="F44" s="240">
        <f t="array" ref="F44">INDEX(Salary,MATCH(C42&amp;D44,Range1&amp;Range2,0))</f>
        <v>6129</v>
      </c>
      <c r="G44" s="420">
        <v>0.5</v>
      </c>
      <c r="H44" s="11">
        <f>C41*E44*F44*G44</f>
        <v>0</v>
      </c>
    </row>
    <row r="45" spans="1:8" x14ac:dyDescent="0.2">
      <c r="A45" s="5"/>
      <c r="B45" s="85" t="str">
        <f>IF(OR(C45="August",C45="July - August",C45="June",C45="June - August",C45="June - July"),"Summer","Academic")</f>
        <v>Academic</v>
      </c>
      <c r="C45" s="229" t="str">
        <f>INDEX(Period_3,MATCH(Grid!$K$1,Begin_month))</f>
        <v>October - December</v>
      </c>
      <c r="D45" s="229" t="str">
        <f t="array" ref="D45">INDEX(Academic_Year,MATCH($H$6&amp;$C$37,DATE_COLUMN&amp;Calendar_Months,0))</f>
        <v>2026-2027</v>
      </c>
      <c r="E45" s="60">
        <f>INDEX(Number_Months,MATCH(C45,Time_Periods,0))</f>
        <v>3</v>
      </c>
      <c r="F45" s="240">
        <f t="array" ref="F45">INDEX(Salary,MATCH(C42&amp;D45,Range1&amp;Range2,0))</f>
        <v>6521</v>
      </c>
      <c r="G45" s="420">
        <v>0.5</v>
      </c>
      <c r="H45" s="11">
        <f>C41*E45*F45*G45</f>
        <v>0</v>
      </c>
    </row>
    <row r="46" spans="1:8" x14ac:dyDescent="0.2">
      <c r="A46" s="5"/>
      <c r="B46" s="85" t="str">
        <f>IF(OR(C46="August",C46="July - August",C46="June",C46="June - August",C46="June - July"),"Summer","Academic")</f>
        <v>Academic</v>
      </c>
      <c r="C46" s="229" t="str">
        <f>INDEX(Period_4,MATCH(Grid!$K$1,Begin_month))</f>
        <v>January - May</v>
      </c>
      <c r="D46" s="229" t="str">
        <f t="array" ref="D46">INDEX(Academic_Year,MATCH($H$6&amp;$C$38,DATE_COLUMN&amp;Calendar_Months,0))</f>
        <v>2026-2027</v>
      </c>
      <c r="E46" s="60">
        <f>INDEX(Number_Months,MATCH(C46,Time_Periods,0))</f>
        <v>5</v>
      </c>
      <c r="F46" s="240">
        <f t="array" ref="F46">INDEX(Salary,MATCH(C42&amp;D46,Range1&amp;Range2,0))</f>
        <v>6521</v>
      </c>
      <c r="G46" s="420">
        <v>0.5</v>
      </c>
      <c r="H46" s="11">
        <f>C41*E46*F46*G46</f>
        <v>0</v>
      </c>
    </row>
    <row r="47" spans="1:8" x14ac:dyDescent="0.2">
      <c r="A47" s="5"/>
      <c r="B47" s="85" t="str">
        <f>IF(OR(C47="August",C47="July - August",C47="June",C47="June - August",C47="June - July"),"Summer","Academic")</f>
        <v>Summer</v>
      </c>
      <c r="C47" s="229" t="str">
        <f>INDEX(Period_5,MATCH(Grid!$K$1,Begin_month))</f>
        <v>June</v>
      </c>
      <c r="D47" s="229" t="str">
        <f t="array" ref="D47">INDEX(Academic_Year,MATCH($H$6&amp;$C$39,DATE_COLUMN&amp;Calendar_Months,0))</f>
        <v>2026-2027</v>
      </c>
      <c r="E47" s="60">
        <f>INDEX(Number_Months,MATCH(C47,Time_Periods,0))</f>
        <v>1</v>
      </c>
      <c r="F47" s="240">
        <f t="array" ref="F47">INDEX(Salary,MATCH(C42&amp;D47,Range1&amp;Range2,0))</f>
        <v>6521</v>
      </c>
      <c r="G47" s="420">
        <v>0.5</v>
      </c>
      <c r="H47" s="11">
        <f>C41*E47*F47*G47</f>
        <v>0</v>
      </c>
    </row>
    <row r="48" spans="1:8" x14ac:dyDescent="0.2">
      <c r="A48" s="5"/>
      <c r="B48" s="6"/>
      <c r="C48" s="6"/>
      <c r="D48" s="6"/>
      <c r="E48" s="60">
        <f>SUM(E43:E47)</f>
        <v>12</v>
      </c>
      <c r="F48" s="22"/>
      <c r="G48" s="22" t="s">
        <v>9</v>
      </c>
      <c r="H48" s="58">
        <f>SUM(H43:H47)</f>
        <v>0</v>
      </c>
    </row>
    <row r="49" spans="1:8" x14ac:dyDescent="0.2">
      <c r="A49" s="5"/>
      <c r="B49" s="13" t="s">
        <v>11</v>
      </c>
      <c r="C49" s="422">
        <v>0</v>
      </c>
      <c r="D49" s="217"/>
      <c r="E49" s="6"/>
      <c r="F49" s="41"/>
      <c r="G49" s="6"/>
      <c r="H49" s="11"/>
    </row>
    <row r="50" spans="1:8" x14ac:dyDescent="0.2">
      <c r="A50" s="5"/>
      <c r="B50" s="6"/>
      <c r="C50" s="243" t="s">
        <v>735</v>
      </c>
      <c r="D50" s="244"/>
      <c r="E50" s="6"/>
      <c r="F50" s="41"/>
      <c r="G50" s="6"/>
      <c r="H50" s="11"/>
    </row>
    <row r="51" spans="1:8" x14ac:dyDescent="0.2">
      <c r="A51" s="5"/>
      <c r="B51" s="85" t="str">
        <f>IF(OR(C51="August",C51="July - August",C51="June",C51="June - August",C51="June - July"),"Summer","Academic")</f>
        <v>Summer</v>
      </c>
      <c r="C51" s="229" t="str">
        <f>INDEX(period_1,MATCH(Grid!$K$1,Begin_month))</f>
        <v>July - August</v>
      </c>
      <c r="D51" s="230" t="str">
        <f t="array" ref="D51">INDEX(Academic_Year,MATCH($H$6&amp;$C$35,DATE_COLUMN&amp;Calendar_Months,0))</f>
        <v>2025-2026</v>
      </c>
      <c r="E51" s="60">
        <f>INDEX(Number_Months,MATCH(C51,Time_Periods,0))</f>
        <v>2</v>
      </c>
      <c r="F51" s="240">
        <f t="array" ref="F51">INDEX(Salary,MATCH(C50&amp;D51,Range1&amp;Range2,0))</f>
        <v>6129</v>
      </c>
      <c r="G51" s="420">
        <v>0.5</v>
      </c>
      <c r="H51" s="11">
        <f>C49*E51*F51*G51</f>
        <v>0</v>
      </c>
    </row>
    <row r="52" spans="1:8" x14ac:dyDescent="0.2">
      <c r="A52" s="5"/>
      <c r="B52" s="85" t="str">
        <f>IF(OR(C52="August",C52="July - August",C52="June",C52="June - August",C52="June - July"),"Summer","Academic")</f>
        <v>Academic</v>
      </c>
      <c r="C52" s="229" t="str">
        <f>INDEX(Period_2,MATCH(Grid!$K$1,Begin_month))</f>
        <v>September</v>
      </c>
      <c r="D52" s="229" t="str">
        <f t="array" ref="D52">INDEX(Academic_Year,MATCH($H$6&amp;$C$36,DATE_COLUMN&amp;Calendar_Months,0))</f>
        <v>2025-2026</v>
      </c>
      <c r="E52" s="60">
        <f>INDEX(Number_Months,MATCH(C52,Time_Periods,0))</f>
        <v>1</v>
      </c>
      <c r="F52" s="240">
        <f t="array" ref="F52">INDEX(Salary,MATCH(C50&amp;D52,Range1&amp;Range2,0))</f>
        <v>6129</v>
      </c>
      <c r="G52" s="420">
        <v>0.5</v>
      </c>
      <c r="H52" s="11">
        <f>C49*E52*F52*G52</f>
        <v>0</v>
      </c>
    </row>
    <row r="53" spans="1:8" x14ac:dyDescent="0.2">
      <c r="A53" s="5"/>
      <c r="B53" s="85" t="str">
        <f>IF(OR(C53="August",C53="July - August",C53="June",C53="June - August",C53="June - July"),"Summer","Academic")</f>
        <v>Academic</v>
      </c>
      <c r="C53" s="229" t="str">
        <f>INDEX(Period_3,MATCH(Grid!$K$1,Begin_month))</f>
        <v>October - December</v>
      </c>
      <c r="D53" s="229" t="str">
        <f t="array" ref="D53">INDEX(Academic_Year,MATCH($H$6&amp;$C$37,DATE_COLUMN&amp;Calendar_Months,0))</f>
        <v>2026-2027</v>
      </c>
      <c r="E53" s="60">
        <f>INDEX(Number_Months,MATCH(C53,Time_Periods,0))</f>
        <v>3</v>
      </c>
      <c r="F53" s="240">
        <f t="array" ref="F53">INDEX(Salary,MATCH(C50&amp;D53,Range1&amp;Range2,0))</f>
        <v>6521</v>
      </c>
      <c r="G53" s="420">
        <v>0.5</v>
      </c>
      <c r="H53" s="11">
        <f>C49*E53*F53*G53</f>
        <v>0</v>
      </c>
    </row>
    <row r="54" spans="1:8" x14ac:dyDescent="0.2">
      <c r="A54" s="5"/>
      <c r="B54" s="85" t="str">
        <f>IF(OR(C54="August",C54="July - August",C54="June",C54="June - August",C54="June - July"),"Summer","Academic")</f>
        <v>Academic</v>
      </c>
      <c r="C54" s="229" t="str">
        <f>INDEX(Period_4,MATCH(Grid!$K$1,Begin_month))</f>
        <v>January - May</v>
      </c>
      <c r="D54" s="229" t="str">
        <f t="array" ref="D54">INDEX(Academic_Year,MATCH($H$6&amp;$C$38,DATE_COLUMN&amp;Calendar_Months,0))</f>
        <v>2026-2027</v>
      </c>
      <c r="E54" s="60">
        <f>INDEX(Number_Months,MATCH(C54,Time_Periods,0))</f>
        <v>5</v>
      </c>
      <c r="F54" s="240">
        <f t="array" ref="F54">INDEX(Salary,MATCH(C50&amp;D54,Range1&amp;Range2,0))</f>
        <v>6521</v>
      </c>
      <c r="G54" s="420">
        <v>0.5</v>
      </c>
      <c r="H54" s="11">
        <f>C49*E54*F54*G54</f>
        <v>0</v>
      </c>
    </row>
    <row r="55" spans="1:8" x14ac:dyDescent="0.2">
      <c r="A55" s="5"/>
      <c r="B55" s="85" t="str">
        <f>IF(OR(C55="August",C55="July - August",C55="June",C55="June - August",C55="June - July"),"Summer","Academic")</f>
        <v>Summer</v>
      </c>
      <c r="C55" s="229" t="str">
        <f>INDEX(Period_5,MATCH(Grid!$K$1,Begin_month))</f>
        <v>June</v>
      </c>
      <c r="D55" s="229" t="str">
        <f t="array" ref="D55">INDEX(Academic_Year,MATCH($H$6&amp;$C$39,DATE_COLUMN&amp;Calendar_Months,0))</f>
        <v>2026-2027</v>
      </c>
      <c r="E55" s="60">
        <f>INDEX(Number_Months,MATCH(C55,Time_Periods,0))</f>
        <v>1</v>
      </c>
      <c r="F55" s="240">
        <f t="array" ref="F55">INDEX(Salary,MATCH(C50&amp;D55,Range1&amp;Range2,0))</f>
        <v>6521</v>
      </c>
      <c r="G55" s="420">
        <v>0.5</v>
      </c>
      <c r="H55" s="11">
        <f>C49*E55*F55*G55</f>
        <v>0</v>
      </c>
    </row>
    <row r="56" spans="1:8" x14ac:dyDescent="0.2">
      <c r="A56" s="5"/>
      <c r="B56" s="6"/>
      <c r="C56" s="6"/>
      <c r="D56" s="6"/>
      <c r="E56" s="60">
        <f>SUM(E51:E55)</f>
        <v>12</v>
      </c>
      <c r="F56" s="22"/>
      <c r="G56" s="22" t="s">
        <v>9</v>
      </c>
      <c r="H56" s="58">
        <f>SUM(H51:H55)</f>
        <v>0</v>
      </c>
    </row>
    <row r="57" spans="1:8" x14ac:dyDescent="0.2">
      <c r="A57" s="5"/>
      <c r="B57" s="13" t="s">
        <v>11</v>
      </c>
      <c r="C57" s="422">
        <v>0</v>
      </c>
      <c r="D57" s="217"/>
      <c r="E57" s="6"/>
      <c r="F57" s="41"/>
      <c r="G57" s="6"/>
      <c r="H57" s="11"/>
    </row>
    <row r="58" spans="1:8" x14ac:dyDescent="0.2">
      <c r="A58" s="5"/>
      <c r="B58" s="6"/>
      <c r="C58" s="243" t="s">
        <v>735</v>
      </c>
      <c r="D58" s="244"/>
      <c r="E58" s="6"/>
      <c r="F58" s="41"/>
      <c r="G58" s="6"/>
      <c r="H58" s="11"/>
    </row>
    <row r="59" spans="1:8" x14ac:dyDescent="0.2">
      <c r="A59" s="5"/>
      <c r="B59" s="85" t="str">
        <f>IF(OR(C59="August",C59="July - August",C59="June",C59="June - August",C59="June - July"),"Summer","Academic")</f>
        <v>Summer</v>
      </c>
      <c r="C59" s="229" t="str">
        <f>INDEX(period_1,MATCH(Grid!$K$1,Begin_month))</f>
        <v>July - August</v>
      </c>
      <c r="D59" s="230" t="str">
        <f t="array" ref="D59">INDEX(Academic_Year,MATCH($H$6&amp;$C$35,DATE_COLUMN&amp;Calendar_Months,0))</f>
        <v>2025-2026</v>
      </c>
      <c r="E59" s="60">
        <f>INDEX(Number_Months,MATCH(C59,Time_Periods,0))</f>
        <v>2</v>
      </c>
      <c r="F59" s="240">
        <f t="array" ref="F59">INDEX(Salary,MATCH(C58&amp;D59,Range1&amp;Range2,0))</f>
        <v>6129</v>
      </c>
      <c r="G59" s="420">
        <v>0.5</v>
      </c>
      <c r="H59" s="11">
        <f>C57*E59*F59*G59</f>
        <v>0</v>
      </c>
    </row>
    <row r="60" spans="1:8" x14ac:dyDescent="0.2">
      <c r="A60" s="5"/>
      <c r="B60" s="85" t="str">
        <f>IF(OR(C60="August",C60="July - August",C60="June",C60="June - August",C60="June - July"),"Summer","Academic")</f>
        <v>Academic</v>
      </c>
      <c r="C60" s="229" t="str">
        <f>INDEX(Period_2,MATCH(Grid!$K$1,Begin_month))</f>
        <v>September</v>
      </c>
      <c r="D60" s="229" t="str">
        <f t="array" ref="D60">INDEX(Academic_Year,MATCH($H$6&amp;$C$36,DATE_COLUMN&amp;Calendar_Months,0))</f>
        <v>2025-2026</v>
      </c>
      <c r="E60" s="60">
        <f>INDEX(Number_Months,MATCH(C60,Time_Periods,0))</f>
        <v>1</v>
      </c>
      <c r="F60" s="240">
        <f t="array" ref="F60">INDEX(Salary,MATCH(C58&amp;D60,Range1&amp;Range2,0))</f>
        <v>6129</v>
      </c>
      <c r="G60" s="420">
        <v>0.5</v>
      </c>
      <c r="H60" s="11">
        <f>C57*E60*F60*G60</f>
        <v>0</v>
      </c>
    </row>
    <row r="61" spans="1:8" x14ac:dyDescent="0.2">
      <c r="A61" s="5"/>
      <c r="B61" s="85" t="str">
        <f>IF(OR(C61="August",C61="July - August",C61="June",C61="June - August",C61="June - July"),"Summer","Academic")</f>
        <v>Academic</v>
      </c>
      <c r="C61" s="229" t="str">
        <f>INDEX(Period_3,MATCH(Grid!$K$1,Begin_month))</f>
        <v>October - December</v>
      </c>
      <c r="D61" s="229" t="str">
        <f t="array" ref="D61">INDEX(Academic_Year,MATCH($H$6&amp;$C$37,DATE_COLUMN&amp;Calendar_Months,0))</f>
        <v>2026-2027</v>
      </c>
      <c r="E61" s="60">
        <f>INDEX(Number_Months,MATCH(C61,Time_Periods,0))</f>
        <v>3</v>
      </c>
      <c r="F61" s="240">
        <f t="array" ref="F61">INDEX(Salary,MATCH(C58&amp;D61,Range1&amp;Range2,0))</f>
        <v>6521</v>
      </c>
      <c r="G61" s="420">
        <v>0.5</v>
      </c>
      <c r="H61" s="11">
        <f>C57*E61*F61*G61</f>
        <v>0</v>
      </c>
    </row>
    <row r="62" spans="1:8" x14ac:dyDescent="0.2">
      <c r="A62" s="5"/>
      <c r="B62" s="85" t="str">
        <f>IF(OR(C62="August",C62="July - August",C62="June",C62="June - August",C62="June - July"),"Summer","Academic")</f>
        <v>Academic</v>
      </c>
      <c r="C62" s="229" t="str">
        <f>INDEX(Period_4,MATCH(Grid!$K$1,Begin_month))</f>
        <v>January - May</v>
      </c>
      <c r="D62" s="229" t="str">
        <f t="array" ref="D62">INDEX(Academic_Year,MATCH($H$6&amp;$C$38,DATE_COLUMN&amp;Calendar_Months,0))</f>
        <v>2026-2027</v>
      </c>
      <c r="E62" s="60">
        <f>INDEX(Number_Months,MATCH(C62,Time_Periods,0))</f>
        <v>5</v>
      </c>
      <c r="F62" s="240">
        <f t="array" ref="F62">INDEX(Salary,MATCH(C58&amp;D62,Range1&amp;Range2,0))</f>
        <v>6521</v>
      </c>
      <c r="G62" s="420">
        <v>0.5</v>
      </c>
      <c r="H62" s="11">
        <f>C57*E62*F62*G62</f>
        <v>0</v>
      </c>
    </row>
    <row r="63" spans="1:8" x14ac:dyDescent="0.2">
      <c r="A63" s="5"/>
      <c r="B63" s="85" t="str">
        <f>IF(OR(C63="August",C63="July - August",C63="June",C63="June - August",C63="June - July"),"Summer","Academic")</f>
        <v>Summer</v>
      </c>
      <c r="C63" s="229" t="str">
        <f>INDEX(Period_5,MATCH(Grid!$K$1,Begin_month))</f>
        <v>June</v>
      </c>
      <c r="D63" s="229" t="str">
        <f t="array" ref="D63">INDEX(Academic_Year,MATCH($H$6&amp;$C$39,DATE_COLUMN&amp;Calendar_Months,0))</f>
        <v>2026-2027</v>
      </c>
      <c r="E63" s="60">
        <f>INDEX(Number_Months,MATCH(C63,Time_Periods,0))</f>
        <v>1</v>
      </c>
      <c r="F63" s="240">
        <f t="array" ref="F63">INDEX(Salary,MATCH(C58&amp;D63,Range1&amp;Range2,0))</f>
        <v>6521</v>
      </c>
      <c r="G63" s="420">
        <v>0.5</v>
      </c>
      <c r="H63" s="11">
        <f>C57*E63*F63*G63</f>
        <v>0</v>
      </c>
    </row>
    <row r="64" spans="1:8" x14ac:dyDescent="0.2">
      <c r="A64" s="5"/>
      <c r="B64" s="6"/>
      <c r="C64" s="6"/>
      <c r="D64" s="6"/>
      <c r="E64" s="60">
        <f>SUM(E59:E63)</f>
        <v>12</v>
      </c>
      <c r="F64" s="22"/>
      <c r="G64" s="22" t="s">
        <v>9</v>
      </c>
      <c r="H64" s="58">
        <f>SUM(H59:H63)</f>
        <v>0</v>
      </c>
    </row>
    <row r="65" spans="1:8" x14ac:dyDescent="0.2">
      <c r="A65" s="5"/>
      <c r="B65" s="13" t="s">
        <v>11</v>
      </c>
      <c r="C65" s="422">
        <v>0</v>
      </c>
      <c r="D65" s="217"/>
      <c r="E65" s="6"/>
      <c r="F65" s="41"/>
      <c r="G65" s="6"/>
      <c r="H65" s="11"/>
    </row>
    <row r="66" spans="1:8" x14ac:dyDescent="0.2">
      <c r="A66" s="5"/>
      <c r="B66" s="6"/>
      <c r="C66" s="243" t="s">
        <v>735</v>
      </c>
      <c r="D66" s="244"/>
      <c r="E66" s="6"/>
      <c r="F66" s="41"/>
      <c r="G66" s="6"/>
      <c r="H66" s="11"/>
    </row>
    <row r="67" spans="1:8" x14ac:dyDescent="0.2">
      <c r="A67" s="5"/>
      <c r="B67" s="85" t="str">
        <f>IF(OR(C67="August",C67="July - August",C67="June",C67="June - August",C67="June - July"),"Summer","Academic")</f>
        <v>Summer</v>
      </c>
      <c r="C67" s="229" t="str">
        <f>INDEX(period_1,MATCH(Grid!$K$1,Begin_month))</f>
        <v>July - August</v>
      </c>
      <c r="D67" s="230" t="str">
        <f t="array" ref="D67">INDEX(Academic_Year,MATCH($H$6&amp;$C$35,DATE_COLUMN&amp;Calendar_Months,0))</f>
        <v>2025-2026</v>
      </c>
      <c r="E67" s="60">
        <f>INDEX(Number_Months,MATCH(C67,Time_Periods,0))</f>
        <v>2</v>
      </c>
      <c r="F67" s="240">
        <f t="array" ref="F67">INDEX(Salary,MATCH(C66&amp;D67,Range1&amp;Range2,0))</f>
        <v>6129</v>
      </c>
      <c r="G67" s="420">
        <v>0.5</v>
      </c>
      <c r="H67" s="11">
        <f>C65*E67*F67*G67</f>
        <v>0</v>
      </c>
    </row>
    <row r="68" spans="1:8" x14ac:dyDescent="0.2">
      <c r="A68" s="5"/>
      <c r="B68" s="85" t="str">
        <f>IF(OR(C68="August",C68="July - August",C68="June",C68="June - August",C68="June - July"),"Summer","Academic")</f>
        <v>Academic</v>
      </c>
      <c r="C68" s="229" t="str">
        <f>INDEX(Period_2,MATCH(Grid!$K$1,Begin_month))</f>
        <v>September</v>
      </c>
      <c r="D68" s="229" t="str">
        <f t="array" ref="D68">INDEX(Academic_Year,MATCH($H$6&amp;$C$36,DATE_COLUMN&amp;Calendar_Months,0))</f>
        <v>2025-2026</v>
      </c>
      <c r="E68" s="60">
        <f>INDEX(Number_Months,MATCH(C68,Time_Periods,0))</f>
        <v>1</v>
      </c>
      <c r="F68" s="240">
        <f t="array" ref="F68">INDEX(Salary,MATCH(C66&amp;D68,Range1&amp;Range2,0))</f>
        <v>6129</v>
      </c>
      <c r="G68" s="420">
        <v>0.5</v>
      </c>
      <c r="H68" s="11">
        <f>C65*E68*F68*G68</f>
        <v>0</v>
      </c>
    </row>
    <row r="69" spans="1:8" x14ac:dyDescent="0.2">
      <c r="A69" s="5"/>
      <c r="B69" s="85" t="str">
        <f>IF(OR(C69="August",C69="July - August",C69="June",C69="June - August",C69="June - July"),"Summer","Academic")</f>
        <v>Academic</v>
      </c>
      <c r="C69" s="229" t="str">
        <f>INDEX(Period_3,MATCH(Grid!$K$1,Begin_month))</f>
        <v>October - December</v>
      </c>
      <c r="D69" s="229" t="str">
        <f t="array" ref="D69">INDEX(Academic_Year,MATCH($H$6&amp;$C$37,DATE_COLUMN&amp;Calendar_Months,0))</f>
        <v>2026-2027</v>
      </c>
      <c r="E69" s="60">
        <f>INDEX(Number_Months,MATCH(C69,Time_Periods,0))</f>
        <v>3</v>
      </c>
      <c r="F69" s="240">
        <f t="array" ref="F69">INDEX(Salary,MATCH(C66&amp;D69,Range1&amp;Range2,0))</f>
        <v>6521</v>
      </c>
      <c r="G69" s="420">
        <v>0.5</v>
      </c>
      <c r="H69" s="11">
        <f>C65*E69*F69*G69</f>
        <v>0</v>
      </c>
    </row>
    <row r="70" spans="1:8" x14ac:dyDescent="0.2">
      <c r="A70" s="5"/>
      <c r="B70" s="85" t="str">
        <f>IF(OR(C70="August",C70="July - August",C70="June",C70="June - August",C70="June - July"),"Summer","Academic")</f>
        <v>Academic</v>
      </c>
      <c r="C70" s="229" t="str">
        <f>INDEX(Period_4,MATCH(Grid!$K$1,Begin_month))</f>
        <v>January - May</v>
      </c>
      <c r="D70" s="229" t="str">
        <f t="array" ref="D70">INDEX(Academic_Year,MATCH($H$6&amp;$C$38,DATE_COLUMN&amp;Calendar_Months,0))</f>
        <v>2026-2027</v>
      </c>
      <c r="E70" s="60">
        <f>INDEX(Number_Months,MATCH(C70,Time_Periods,0))</f>
        <v>5</v>
      </c>
      <c r="F70" s="240">
        <f t="array" ref="F70">INDEX(Salary,MATCH(C66&amp;D70,Range1&amp;Range2,0))</f>
        <v>6521</v>
      </c>
      <c r="G70" s="420">
        <v>0.5</v>
      </c>
      <c r="H70" s="11">
        <f>C65*E70*F70*G70</f>
        <v>0</v>
      </c>
    </row>
    <row r="71" spans="1:8" x14ac:dyDescent="0.2">
      <c r="A71" s="5"/>
      <c r="B71" s="85" t="str">
        <f>IF(OR(C71="August",C71="July - August",C71="June",C71="June - August",C71="June - July"),"Summer","Academic")</f>
        <v>Summer</v>
      </c>
      <c r="C71" s="229" t="str">
        <f>INDEX(Period_5,MATCH(Grid!$K$1,Begin_month))</f>
        <v>June</v>
      </c>
      <c r="D71" s="229" t="str">
        <f t="array" ref="D71">INDEX(Academic_Year,MATCH($H$6&amp;$C$39,DATE_COLUMN&amp;Calendar_Months,0))</f>
        <v>2026-2027</v>
      </c>
      <c r="E71" s="60">
        <f>INDEX(Number_Months,MATCH(C71,Time_Periods,0))</f>
        <v>1</v>
      </c>
      <c r="F71" s="240">
        <f t="array" ref="F71">INDEX(Salary,MATCH(C66&amp;D71,Range1&amp;Range2,0))</f>
        <v>6521</v>
      </c>
      <c r="G71" s="420">
        <v>0.5</v>
      </c>
      <c r="H71" s="11">
        <f>C65*E71*F71*G71</f>
        <v>0</v>
      </c>
    </row>
    <row r="72" spans="1:8" x14ac:dyDescent="0.2">
      <c r="A72" s="5"/>
      <c r="B72" s="6"/>
      <c r="C72" s="6"/>
      <c r="D72" s="6"/>
      <c r="E72" s="60">
        <f>SUM(E67:E71)</f>
        <v>12</v>
      </c>
      <c r="F72" s="22"/>
      <c r="G72" s="22" t="s">
        <v>9</v>
      </c>
      <c r="H72" s="58">
        <f>SUM(H67:H71)</f>
        <v>0</v>
      </c>
    </row>
    <row r="73" spans="1:8" x14ac:dyDescent="0.2">
      <c r="A73" s="5"/>
      <c r="B73" s="13" t="s">
        <v>11</v>
      </c>
      <c r="C73" s="422">
        <v>0</v>
      </c>
      <c r="D73" s="217"/>
      <c r="E73" s="6"/>
      <c r="F73" s="41"/>
      <c r="G73" s="6"/>
      <c r="H73" s="11"/>
    </row>
    <row r="74" spans="1:8" x14ac:dyDescent="0.2">
      <c r="A74" s="5"/>
      <c r="B74" s="6"/>
      <c r="C74" s="243" t="s">
        <v>735</v>
      </c>
      <c r="D74" s="244"/>
      <c r="E74" s="6"/>
      <c r="F74" s="41"/>
      <c r="G74" s="6"/>
      <c r="H74" s="11"/>
    </row>
    <row r="75" spans="1:8" x14ac:dyDescent="0.2">
      <c r="A75" s="5"/>
      <c r="B75" s="85" t="str">
        <f>IF(OR(C75="August",C75="July - August",C75="June",C75="June - August",C75="June - July"),"Summer","Academic")</f>
        <v>Summer</v>
      </c>
      <c r="C75" s="229" t="str">
        <f>INDEX(period_1,MATCH(Grid!$K$1,Begin_month))</f>
        <v>July - August</v>
      </c>
      <c r="D75" s="230" t="str">
        <f t="array" ref="D75">INDEX(Academic_Year,MATCH($H$6&amp;$C$35,DATE_COLUMN&amp;Calendar_Months,0))</f>
        <v>2025-2026</v>
      </c>
      <c r="E75" s="60">
        <f>INDEX(Number_Months,MATCH(C75,Time_Periods,0))</f>
        <v>2</v>
      </c>
      <c r="F75" s="240">
        <f t="array" ref="F75">INDEX(Salary,MATCH(C74&amp;D75,Range1&amp;Range2,0))</f>
        <v>6129</v>
      </c>
      <c r="G75" s="420">
        <v>0.5</v>
      </c>
      <c r="H75" s="11">
        <f>C73*E75*F75*G75</f>
        <v>0</v>
      </c>
    </row>
    <row r="76" spans="1:8" x14ac:dyDescent="0.2">
      <c r="A76" s="5"/>
      <c r="B76" s="85" t="str">
        <f>IF(OR(C76="August",C76="July - August",C76="June",C76="June - August",C76="June - July"),"Summer","Academic")</f>
        <v>Academic</v>
      </c>
      <c r="C76" s="229" t="str">
        <f>INDEX(Period_2,MATCH(Grid!$K$1,Begin_month))</f>
        <v>September</v>
      </c>
      <c r="D76" s="229" t="str">
        <f t="array" ref="D76">INDEX(Academic_Year,MATCH($H$6&amp;$C$36,DATE_COLUMN&amp;Calendar_Months,0))</f>
        <v>2025-2026</v>
      </c>
      <c r="E76" s="60">
        <f>INDEX(Number_Months,MATCH(C76,Time_Periods,0))</f>
        <v>1</v>
      </c>
      <c r="F76" s="240">
        <f t="array" ref="F76">INDEX(Salary,MATCH(C74&amp;D76,Range1&amp;Range2,0))</f>
        <v>6129</v>
      </c>
      <c r="G76" s="420">
        <v>0.5</v>
      </c>
      <c r="H76" s="11">
        <f>C73*E76*F76*G76</f>
        <v>0</v>
      </c>
    </row>
    <row r="77" spans="1:8" x14ac:dyDescent="0.2">
      <c r="A77" s="5"/>
      <c r="B77" s="85" t="str">
        <f>IF(OR(C77="August",C77="July - August",C77="June",C77="June - August",C77="June - July"),"Summer","Academic")</f>
        <v>Academic</v>
      </c>
      <c r="C77" s="229" t="str">
        <f>INDEX(Period_3,MATCH(Grid!$K$1,Begin_month))</f>
        <v>October - December</v>
      </c>
      <c r="D77" s="229" t="str">
        <f t="array" ref="D77">INDEX(Academic_Year,MATCH($H$6&amp;$C$37,DATE_COLUMN&amp;Calendar_Months,0))</f>
        <v>2026-2027</v>
      </c>
      <c r="E77" s="60">
        <f>INDEX(Number_Months,MATCH(C77,Time_Periods,0))</f>
        <v>3</v>
      </c>
      <c r="F77" s="240">
        <f t="array" ref="F77">INDEX(Salary,MATCH(C74&amp;D77,Range1&amp;Range2,0))</f>
        <v>6521</v>
      </c>
      <c r="G77" s="420">
        <v>0.5</v>
      </c>
      <c r="H77" s="11">
        <f>C73*E77*F77*G77</f>
        <v>0</v>
      </c>
    </row>
    <row r="78" spans="1:8" x14ac:dyDescent="0.2">
      <c r="A78" s="5"/>
      <c r="B78" s="85" t="str">
        <f>IF(OR(C78="August",C78="July - August",C78="June",C78="June - August",C78="June - July"),"Summer","Academic")</f>
        <v>Academic</v>
      </c>
      <c r="C78" s="229" t="str">
        <f>INDEX(Period_4,MATCH(Grid!$K$1,Begin_month))</f>
        <v>January - May</v>
      </c>
      <c r="D78" s="229" t="str">
        <f t="array" ref="D78">INDEX(Academic_Year,MATCH($H$6&amp;$C$38,DATE_COLUMN&amp;Calendar_Months,0))</f>
        <v>2026-2027</v>
      </c>
      <c r="E78" s="60">
        <f>INDEX(Number_Months,MATCH(C78,Time_Periods,0))</f>
        <v>5</v>
      </c>
      <c r="F78" s="240">
        <f t="array" ref="F78">INDEX(Salary,MATCH(C74&amp;D78,Range1&amp;Range2,0))</f>
        <v>6521</v>
      </c>
      <c r="G78" s="420">
        <v>0.5</v>
      </c>
      <c r="H78" s="11">
        <f>C73*E78*F78*G78</f>
        <v>0</v>
      </c>
    </row>
    <row r="79" spans="1:8" x14ac:dyDescent="0.2">
      <c r="A79" s="5"/>
      <c r="B79" s="85" t="str">
        <f>IF(OR(C79="August",C79="July - August",C79="June",C79="June - August",C79="June - July"),"Summer","Academic")</f>
        <v>Summer</v>
      </c>
      <c r="C79" s="229" t="str">
        <f>INDEX(Period_5,MATCH(Grid!$K$1,Begin_month))</f>
        <v>June</v>
      </c>
      <c r="D79" s="229" t="str">
        <f t="array" ref="D79">INDEX(Academic_Year,MATCH($H$6&amp;$C$39,DATE_COLUMN&amp;Calendar_Months,0))</f>
        <v>2026-2027</v>
      </c>
      <c r="E79" s="60">
        <f>INDEX(Number_Months,MATCH(C79,Time_Periods,0))</f>
        <v>1</v>
      </c>
      <c r="F79" s="240">
        <f t="array" ref="F79">INDEX(Salary,MATCH(C74&amp;D79,Range1&amp;Range2,0))</f>
        <v>6521</v>
      </c>
      <c r="G79" s="420">
        <v>0.5</v>
      </c>
      <c r="H79" s="11">
        <f>C73*E79*F79*G79</f>
        <v>0</v>
      </c>
    </row>
    <row r="80" spans="1:8" x14ac:dyDescent="0.2">
      <c r="A80" s="5"/>
      <c r="B80" s="6"/>
      <c r="C80" s="6"/>
      <c r="D80" s="6"/>
      <c r="E80" s="60">
        <f>SUM(E75:E79)</f>
        <v>12</v>
      </c>
      <c r="F80" s="22"/>
      <c r="G80" s="22" t="s">
        <v>9</v>
      </c>
      <c r="H80" s="58">
        <f>SUM(H75:H79)</f>
        <v>0</v>
      </c>
    </row>
    <row r="81" spans="1:11" x14ac:dyDescent="0.2">
      <c r="A81" s="4" t="s">
        <v>17</v>
      </c>
      <c r="E81" s="60"/>
      <c r="G81" s="19" t="s">
        <v>111</v>
      </c>
      <c r="H81" s="10">
        <f>H80+H72+H64+H56+H48+H40+H32</f>
        <v>0</v>
      </c>
      <c r="K81" s="449"/>
    </row>
    <row r="82" spans="1:11" x14ac:dyDescent="0.2">
      <c r="A82" s="4"/>
      <c r="B82" s="13" t="s">
        <v>54</v>
      </c>
      <c r="C82" s="6" t="s">
        <v>197</v>
      </c>
      <c r="E82" s="60"/>
      <c r="F82" s="13"/>
      <c r="H82" s="10"/>
    </row>
    <row r="83" spans="1:11" x14ac:dyDescent="0.2">
      <c r="A83" s="5"/>
      <c r="B83" s="421">
        <v>0</v>
      </c>
      <c r="C83" s="242" t="s">
        <v>1204</v>
      </c>
      <c r="D83" s="225"/>
      <c r="E83" s="224" t="s">
        <v>8</v>
      </c>
      <c r="F83" s="297">
        <f>H84+H85</f>
        <v>0</v>
      </c>
      <c r="G83" s="215"/>
      <c r="H83" s="11"/>
    </row>
    <row r="84" spans="1:11" x14ac:dyDescent="0.2">
      <c r="A84" s="5"/>
      <c r="B84" s="426"/>
      <c r="C84" s="229" t="str">
        <f>INDEX(Period1_AR,MATCH(Grid!K1,Begin_Month2))</f>
        <v>July - June</v>
      </c>
      <c r="D84" s="229" t="str" cm="1">
        <f t="array" ref="D84">INDEX(Fiscal_Year_,MATCH($H$6&amp;$C$84,DATE_COLUMN_AR&amp;CALENDAR_MONTHS_AR,0))</f>
        <v>FY27</v>
      </c>
      <c r="E84" s="229">
        <f>VLOOKUP(C84,Grid2!$I$27:$J$38,2,FALSE)</f>
        <v>12</v>
      </c>
      <c r="F84" s="240" cm="1">
        <f t="array" ref="F84">INDEX(AR_SALARY,MATCH(C83&amp;D84,AR_Title&amp;AR_FY,0))</f>
        <v>16800.375179249997</v>
      </c>
      <c r="G84" s="215">
        <v>1</v>
      </c>
      <c r="H84" s="11">
        <f>ROUND(B83*E84*F84*G84,0)</f>
        <v>0</v>
      </c>
    </row>
    <row r="85" spans="1:11" x14ac:dyDescent="0.2">
      <c r="A85" s="5"/>
      <c r="B85" s="426"/>
      <c r="C85" s="229" t="str">
        <f>INDEX(Period2_AR,MATCH(Grid!K1,Begin_Month2))</f>
        <v>none</v>
      </c>
      <c r="D85" s="229" t="str" cm="1">
        <f t="array" ref="D85">INDEX(Fiscal_Year_,MATCH($H$6&amp;$C$85,DATE_COLUMN_AR&amp;CALENDAR_MONTHS_AR,0))</f>
        <v>FY27</v>
      </c>
      <c r="E85" s="229">
        <f>VLOOKUP(C85,Grid2!$K$27:$L$38,2,FALSE)</f>
        <v>0</v>
      </c>
      <c r="F85" s="240" cm="1">
        <f t="array" ref="F85">INDEX(AR_SALARY,MATCH(C83&amp;D85,AR_Title&amp;AR_FY,0))</f>
        <v>16800.375179249997</v>
      </c>
      <c r="G85" s="215">
        <v>1</v>
      </c>
      <c r="H85" s="11">
        <f>ROUND(B83*E85*F85*G85,0)</f>
        <v>0</v>
      </c>
    </row>
    <row r="86" spans="1:11" x14ac:dyDescent="0.2">
      <c r="A86" s="5"/>
      <c r="B86" s="421">
        <v>0</v>
      </c>
      <c r="C86" s="242" t="s">
        <v>171</v>
      </c>
      <c r="D86" s="225"/>
      <c r="E86" s="224" t="s">
        <v>8</v>
      </c>
      <c r="F86" s="297">
        <f>H87+H88</f>
        <v>0</v>
      </c>
      <c r="G86" s="208"/>
      <c r="H86" s="11"/>
    </row>
    <row r="87" spans="1:11" x14ac:dyDescent="0.2">
      <c r="A87" s="5"/>
      <c r="B87" s="426"/>
      <c r="C87" s="229" t="str">
        <f>INDEX(Period1_AR,MATCH(Grid!K1,Begin_Month2))</f>
        <v>July - June</v>
      </c>
      <c r="D87" s="229" t="str" cm="1">
        <f t="array" ref="D87">INDEX(Fiscal_Year_,MATCH($H$6&amp;$C$87,DATE_COLUMN_AR&amp;CALENDAR_MONTHS_AR,0))</f>
        <v>FY27</v>
      </c>
      <c r="E87" s="229">
        <f>VLOOKUP(C87,Grid2!$I$27:$J$38,2,FALSE)</f>
        <v>12</v>
      </c>
      <c r="F87" s="240" cm="1">
        <f t="array" ref="F87">INDEX(AR_SALARY,MATCH(C86&amp;D87,AR_Title&amp;AR_FY,0))</f>
        <v>14506.175445749997</v>
      </c>
      <c r="G87" s="215">
        <v>1</v>
      </c>
      <c r="H87" s="11">
        <f>ROUND(B86*E87*F87*G87,0)</f>
        <v>0</v>
      </c>
      <c r="K87" s="12"/>
    </row>
    <row r="88" spans="1:11" x14ac:dyDescent="0.2">
      <c r="A88" s="5"/>
      <c r="B88" s="426"/>
      <c r="C88" s="229" t="str">
        <f>INDEX(Period2_AR,MATCH(Grid!K1,Begin_Month2))</f>
        <v>none</v>
      </c>
      <c r="D88" s="229" t="str" cm="1">
        <f t="array" ref="D88">INDEX(Fiscal_Year_,MATCH($H$6&amp;$C$88,DATE_COLUMN_AR&amp;CALENDAR_MONTHS_AR,0))</f>
        <v>FY27</v>
      </c>
      <c r="E88" s="229">
        <f>VLOOKUP(C88,Grid2!$K$27:$L$38,2,FALSE)</f>
        <v>0</v>
      </c>
      <c r="F88" s="240" cm="1">
        <f t="array" ref="F88">INDEX(AR_SALARY,MATCH(C86&amp;D88,AR_Title&amp;AR_FY,0))</f>
        <v>14506.175445749997</v>
      </c>
      <c r="G88" s="215">
        <v>1</v>
      </c>
      <c r="H88" s="11">
        <f t="shared" ref="H88" si="0">ROUND(B86*E88*F88*G88,0)</f>
        <v>0</v>
      </c>
    </row>
    <row r="89" spans="1:11" x14ac:dyDescent="0.2">
      <c r="A89" s="5"/>
      <c r="B89" s="421">
        <v>0</v>
      </c>
      <c r="C89" s="6" t="s">
        <v>18</v>
      </c>
      <c r="D89" s="120" t="s">
        <v>567</v>
      </c>
      <c r="E89" s="213">
        <v>0</v>
      </c>
      <c r="F89" s="419">
        <v>18.670000000000002</v>
      </c>
      <c r="G89" s="215">
        <v>1</v>
      </c>
      <c r="H89" s="11">
        <f t="shared" ref="H89:H92" si="1">ROUND(B89*E89*F89*G89,0)</f>
        <v>0</v>
      </c>
    </row>
    <row r="90" spans="1:11" x14ac:dyDescent="0.2">
      <c r="A90" s="5"/>
      <c r="B90" s="421">
        <v>0</v>
      </c>
      <c r="C90" s="6" t="s">
        <v>18</v>
      </c>
      <c r="D90" s="120" t="s">
        <v>567</v>
      </c>
      <c r="E90" s="213">
        <v>0</v>
      </c>
      <c r="F90" s="419">
        <v>18.670000000000002</v>
      </c>
      <c r="G90" s="215">
        <v>1</v>
      </c>
      <c r="H90" s="11">
        <f t="shared" ref="H90:H91" si="2">ROUND(B90*E90*F90*G90,0)</f>
        <v>0</v>
      </c>
    </row>
    <row r="91" spans="1:11" x14ac:dyDescent="0.2">
      <c r="A91" s="5"/>
      <c r="B91" s="421">
        <v>0</v>
      </c>
      <c r="C91" s="6" t="s">
        <v>18</v>
      </c>
      <c r="D91" s="120" t="s">
        <v>567</v>
      </c>
      <c r="E91" s="213">
        <v>0</v>
      </c>
      <c r="F91" s="419">
        <v>18.670000000000002</v>
      </c>
      <c r="G91" s="215">
        <v>1</v>
      </c>
      <c r="H91" s="11">
        <f t="shared" si="2"/>
        <v>0</v>
      </c>
    </row>
    <row r="92" spans="1:11" x14ac:dyDescent="0.2">
      <c r="A92" s="5"/>
      <c r="B92" s="421">
        <v>0</v>
      </c>
      <c r="C92" s="6" t="s">
        <v>107</v>
      </c>
      <c r="D92" s="6"/>
      <c r="E92" s="213">
        <v>12</v>
      </c>
      <c r="F92" s="214">
        <v>10</v>
      </c>
      <c r="G92" s="215">
        <v>1</v>
      </c>
      <c r="H92" s="11">
        <f t="shared" si="1"/>
        <v>0</v>
      </c>
    </row>
    <row r="93" spans="1:11" x14ac:dyDescent="0.2">
      <c r="A93" s="5"/>
      <c r="B93" s="421">
        <v>0</v>
      </c>
      <c r="C93" s="6" t="s">
        <v>107</v>
      </c>
      <c r="D93" s="6"/>
      <c r="E93" s="213">
        <v>12</v>
      </c>
      <c r="F93" s="214">
        <v>10</v>
      </c>
      <c r="G93" s="215">
        <v>1</v>
      </c>
      <c r="H93" s="11">
        <f t="shared" ref="H93:H94" si="3">ROUND(B93*E93*F93*G93,0)</f>
        <v>0</v>
      </c>
    </row>
    <row r="94" spans="1:11" x14ac:dyDescent="0.2">
      <c r="A94" s="5"/>
      <c r="B94" s="421">
        <v>0</v>
      </c>
      <c r="C94" s="6" t="s">
        <v>107</v>
      </c>
      <c r="D94" s="6"/>
      <c r="E94" s="213">
        <v>12</v>
      </c>
      <c r="F94" s="214">
        <v>10</v>
      </c>
      <c r="G94" s="215">
        <v>1</v>
      </c>
      <c r="H94" s="11">
        <f t="shared" si="3"/>
        <v>0</v>
      </c>
    </row>
    <row r="95" spans="1:11" x14ac:dyDescent="0.2">
      <c r="A95" s="5"/>
      <c r="B95" s="421">
        <v>0</v>
      </c>
      <c r="C95" s="6" t="s">
        <v>153</v>
      </c>
      <c r="D95" s="6"/>
      <c r="E95" s="213">
        <v>12</v>
      </c>
      <c r="F95" s="214">
        <v>10</v>
      </c>
      <c r="G95" s="215">
        <v>1</v>
      </c>
      <c r="H95" s="11">
        <f>ROUND(B95*E95*F95*G95,0)</f>
        <v>0</v>
      </c>
    </row>
    <row r="96" spans="1:11" x14ac:dyDescent="0.2">
      <c r="A96" s="5"/>
      <c r="B96" s="421">
        <v>0</v>
      </c>
      <c r="C96" s="6" t="s">
        <v>153</v>
      </c>
      <c r="D96" s="6"/>
      <c r="E96" s="213">
        <v>12</v>
      </c>
      <c r="F96" s="214">
        <v>10</v>
      </c>
      <c r="G96" s="215">
        <v>1</v>
      </c>
      <c r="H96" s="11">
        <f t="shared" ref="H96:H98" si="4">ROUND(B96*E96*F96*G96,0)</f>
        <v>0</v>
      </c>
    </row>
    <row r="97" spans="1:9" x14ac:dyDescent="0.2">
      <c r="A97" s="5"/>
      <c r="B97" s="421">
        <v>0</v>
      </c>
      <c r="C97" s="6" t="s">
        <v>1302</v>
      </c>
      <c r="D97" s="6"/>
      <c r="E97" s="213">
        <v>12</v>
      </c>
      <c r="F97" s="214">
        <v>10</v>
      </c>
      <c r="G97" s="215">
        <v>1</v>
      </c>
      <c r="H97" s="11">
        <f t="shared" si="4"/>
        <v>0</v>
      </c>
    </row>
    <row r="98" spans="1:9" x14ac:dyDescent="0.2">
      <c r="A98" s="5"/>
      <c r="B98" s="421">
        <v>0</v>
      </c>
      <c r="C98" s="6" t="s">
        <v>1302</v>
      </c>
      <c r="D98" s="6"/>
      <c r="E98" s="213">
        <v>12</v>
      </c>
      <c r="F98" s="214">
        <v>10</v>
      </c>
      <c r="G98" s="215">
        <v>1</v>
      </c>
      <c r="H98" s="11">
        <f t="shared" si="4"/>
        <v>0</v>
      </c>
    </row>
    <row r="99" spans="1:9" x14ac:dyDescent="0.2">
      <c r="A99" s="5"/>
      <c r="D99" s="436" t="s">
        <v>1157</v>
      </c>
      <c r="H99" s="17"/>
    </row>
    <row r="100" spans="1:9" x14ac:dyDescent="0.2">
      <c r="A100" s="5"/>
      <c r="B100" s="443"/>
      <c r="C100" s="441" t="s">
        <v>1183</v>
      </c>
      <c r="D100" s="436"/>
      <c r="E100" s="213"/>
      <c r="F100" s="214"/>
      <c r="G100" s="215"/>
      <c r="H100" s="11"/>
    </row>
    <row r="101" spans="1:9" x14ac:dyDescent="0.2">
      <c r="A101" s="5"/>
      <c r="B101" s="443">
        <v>0</v>
      </c>
      <c r="C101" s="6" t="s">
        <v>22</v>
      </c>
      <c r="D101" s="242">
        <v>4</v>
      </c>
      <c r="E101" s="440">
        <f>IF(D101=Blank,"Blank",D101+1)</f>
        <v>5</v>
      </c>
      <c r="F101" s="446"/>
      <c r="G101" s="447"/>
      <c r="H101" s="11"/>
    </row>
    <row r="102" spans="1:9" x14ac:dyDescent="0.2">
      <c r="A102" s="5"/>
      <c r="B102" s="443"/>
      <c r="C102" s="229" t="str">
        <f>INDEX(hiredate2_period1,MATCH(Grid!$K$1,Grid2!$D$2:$D$13))</f>
        <v>July - September</v>
      </c>
      <c r="D102" s="229" t="str" cm="1">
        <f t="array" ref="D102">INDEX(Grid2!$W$27:$W$350,MATCH($H$6&amp;$C$102,Grid2!$U$27:$U$350&amp;Grid2!$V$27:$V$350,0))</f>
        <v>FY26E</v>
      </c>
      <c r="E102" s="229">
        <f>VLOOKUP(C102,Grid2!$I$2:$J$13,2,FALSE)</f>
        <v>3</v>
      </c>
      <c r="F102" s="246" cm="1">
        <f t="array" ref="F102">INDEX(hiredate2_salary,MATCH($D$101&amp;D102,exp_level_hire_date_2&amp;hiredate2_FY,0))</f>
        <v>6658.4556351562496</v>
      </c>
      <c r="G102" s="215">
        <v>1</v>
      </c>
      <c r="H102" s="11">
        <f>ROUND(B101*E102*F102*G102,0)</f>
        <v>0</v>
      </c>
    </row>
    <row r="103" spans="1:9" x14ac:dyDescent="0.2">
      <c r="A103" s="5"/>
      <c r="B103" s="443"/>
      <c r="C103" s="229" t="str">
        <f>INDEX(Hiredate2_period2,MATCH(Grid!$K$1,Grid2!$D$2:$D$13))</f>
        <v>October - March</v>
      </c>
      <c r="D103" s="229" t="str" cm="1">
        <f t="array" ref="D103">INDEX(Grid2!$W$27:$W$350,MATCH($H$6&amp;$C$103,Grid2!$U$27:$U$350&amp;Grid2!$V$27:$V$350,0))</f>
        <v>FY27R</v>
      </c>
      <c r="E103" s="229">
        <f>VLOOKUP(C103,Grid2!$K$2:$L$13,2,FALSE)</f>
        <v>6</v>
      </c>
      <c r="F103" s="246" cm="1">
        <f t="array" ref="F103">INDEX(hiredate2_salary,MATCH($D$101&amp;D103,exp_level_hire_date_2&amp;hiredate2_FY,0))</f>
        <v>6891.5015823867179</v>
      </c>
      <c r="G103" s="215">
        <v>1</v>
      </c>
      <c r="H103" s="11">
        <f>ROUND(B101*E103*F103*G103,0)</f>
        <v>0</v>
      </c>
    </row>
    <row r="104" spans="1:9" x14ac:dyDescent="0.2">
      <c r="A104" s="5"/>
      <c r="B104" s="443"/>
      <c r="C104" s="229" t="str">
        <f>INDEX(hiredate2_period3,MATCH(Grid!$K$1,Grid2!$D$2:$D$13))</f>
        <v>April - June</v>
      </c>
      <c r="D104" s="229" t="str" cm="1">
        <f t="array" ref="D104">INDEX(Grid2!$W$27:$W$350,MATCH($H$6&amp;$C$104,Grid2!$U$27:$U$350&amp;Grid2!$V$27:$V$350,0))</f>
        <v>FY27E</v>
      </c>
      <c r="E104" s="229">
        <f>VLOOKUP(C104,Grid2!$M$2:$N$13,2,FALSE)</f>
        <v>3</v>
      </c>
      <c r="F104" s="246" cm="1">
        <f t="array" ref="F104">INDEX(hiredate2_salary,MATCH(($D$101+1)&amp;D104,exp_level_hire_date_2&amp;hiredate2_FY,0))</f>
        <v>7146.4628068874981</v>
      </c>
      <c r="G104" s="215">
        <v>1</v>
      </c>
      <c r="H104" s="11">
        <f>ROUND(B101*E104*F104*G104,0)</f>
        <v>0</v>
      </c>
      <c r="I104" s="12"/>
    </row>
    <row r="105" spans="1:9" x14ac:dyDescent="0.2">
      <c r="A105" s="5"/>
      <c r="B105" s="443">
        <v>0</v>
      </c>
      <c r="C105" s="6" t="s">
        <v>22</v>
      </c>
      <c r="D105" s="242">
        <v>4</v>
      </c>
      <c r="E105" s="458">
        <f>IF(D105=Blank,"Blank",D105+1)</f>
        <v>5</v>
      </c>
      <c r="F105" s="460"/>
      <c r="G105" s="447"/>
      <c r="H105" s="11"/>
    </row>
    <row r="106" spans="1:9" x14ac:dyDescent="0.2">
      <c r="A106" s="5"/>
      <c r="B106" s="443"/>
      <c r="C106" s="229" t="str">
        <f>INDEX(hiredate2_period1,MATCH(Grid!$K$1,Grid2!$D$2:$D$13))</f>
        <v>July - September</v>
      </c>
      <c r="D106" s="229" t="str" cm="1">
        <f t="array" ref="D106">INDEX(Grid2!$W$27:$W$350,MATCH($H$6&amp;$C$102,Grid2!$U$27:$U$350&amp;Grid2!$V$27:$V$350,0))</f>
        <v>FY26E</v>
      </c>
      <c r="E106" s="229">
        <f>VLOOKUP(C106,Grid2!$I$2:$J$13,2,FALSE)</f>
        <v>3</v>
      </c>
      <c r="F106" s="246" cm="1">
        <f t="array" ref="F106">INDEX(hiredate2_salary,MATCH($D$105&amp;D106,exp_level_hire_date_2&amp;hiredate2_FY,0))</f>
        <v>6658.4556351562496</v>
      </c>
      <c r="G106" s="215">
        <v>1</v>
      </c>
      <c r="H106" s="11">
        <f>ROUND(B105*E106*F106*G106,0)</f>
        <v>0</v>
      </c>
    </row>
    <row r="107" spans="1:9" x14ac:dyDescent="0.2">
      <c r="A107" s="5"/>
      <c r="B107" s="443"/>
      <c r="C107" s="229" t="str">
        <f>INDEX(Hiredate2_period2,MATCH(Grid!$K$1,Grid2!$D$2:$D$13))</f>
        <v>October - March</v>
      </c>
      <c r="D107" s="229" t="str" cm="1">
        <f t="array" ref="D107">INDEX(Grid2!$W$27:$W$350,MATCH($H$6&amp;$C$103,Grid2!$U$27:$U$350&amp;Grid2!$V$27:$V$350,0))</f>
        <v>FY27R</v>
      </c>
      <c r="E107" s="229">
        <f>VLOOKUP(C107,Grid2!$K$2:$L$13,2,FALSE)</f>
        <v>6</v>
      </c>
      <c r="F107" s="246" cm="1">
        <f t="array" ref="F107">INDEX(hiredate2_salary,MATCH($D$105&amp;D107,exp_level_hire_date_2&amp;hiredate2_FY,0))</f>
        <v>6891.5015823867179</v>
      </c>
      <c r="G107" s="215">
        <v>1</v>
      </c>
      <c r="H107" s="11">
        <f>ROUND(B105*E107*F107*G107,0)</f>
        <v>0</v>
      </c>
    </row>
    <row r="108" spans="1:9" x14ac:dyDescent="0.2">
      <c r="A108" s="5"/>
      <c r="B108" s="443"/>
      <c r="C108" s="229" t="str">
        <f>INDEX(hiredate2_period3,MATCH(Grid!$K$1,Grid2!$D$2:$D$13))</f>
        <v>April - June</v>
      </c>
      <c r="D108" s="229" t="str" cm="1">
        <f t="array" ref="D108">INDEX(Grid2!$W$27:$W$350,MATCH($H$6&amp;$C$104,Grid2!$U$27:$U$350&amp;Grid2!$V$27:$V$350,0))</f>
        <v>FY27E</v>
      </c>
      <c r="E108" s="229">
        <f>VLOOKUP(C108,Grid2!$M$2:$N$13,2,FALSE)</f>
        <v>3</v>
      </c>
      <c r="F108" s="246" cm="1">
        <f t="array" ref="F108">INDEX(hiredate2_salary,MATCH(($D$105+1)&amp;D108,exp_level_hire_date_2&amp;hiredate2_FY,0))</f>
        <v>7146.4628068874981</v>
      </c>
      <c r="G108" s="215">
        <v>1</v>
      </c>
      <c r="H108" s="11">
        <f>ROUND(B105*E108*F108*G108,0)</f>
        <v>0</v>
      </c>
    </row>
    <row r="109" spans="1:9" x14ac:dyDescent="0.2">
      <c r="A109" s="5"/>
      <c r="B109" s="443">
        <v>0</v>
      </c>
      <c r="C109" s="6" t="s">
        <v>22</v>
      </c>
      <c r="D109" s="242">
        <v>4</v>
      </c>
      <c r="E109" s="458">
        <f>IF(D109=Blank,"Blank",D109+1)</f>
        <v>5</v>
      </c>
      <c r="F109" s="460"/>
      <c r="G109" s="447"/>
      <c r="H109" s="11"/>
    </row>
    <row r="110" spans="1:9" x14ac:dyDescent="0.2">
      <c r="A110" s="5"/>
      <c r="B110" s="443"/>
      <c r="C110" s="229" t="str">
        <f>INDEX(hiredate2_period1,MATCH(Grid!$K$1,Grid2!$D$2:$D$13))</f>
        <v>July - September</v>
      </c>
      <c r="D110" s="229" t="str" cm="1">
        <f t="array" ref="D110">INDEX(Grid2!$W$27:$W$350,MATCH($H$6&amp;$C$102,Grid2!$U$27:$U$350&amp;Grid2!$V$27:$V$350,0))</f>
        <v>FY26E</v>
      </c>
      <c r="E110" s="229">
        <f>VLOOKUP(C110,Grid2!$I$2:$J$13,2,FALSE)</f>
        <v>3</v>
      </c>
      <c r="F110" s="246" cm="1">
        <f t="array" ref="F110">INDEX(hiredate2_salary,MATCH($D$109&amp;D110,exp_level_hire_date_2&amp;hiredate2_FY,0))</f>
        <v>6658.4556351562496</v>
      </c>
      <c r="G110" s="215">
        <v>1</v>
      </c>
      <c r="H110" s="11">
        <f>ROUND(B109*E110*F110*G110,0)</f>
        <v>0</v>
      </c>
    </row>
    <row r="111" spans="1:9" x14ac:dyDescent="0.2">
      <c r="A111" s="5"/>
      <c r="B111" s="443"/>
      <c r="C111" s="229" t="str">
        <f>INDEX(Hiredate2_period2,MATCH(Grid!$K$1,Grid2!$D$2:$D$13))</f>
        <v>October - March</v>
      </c>
      <c r="D111" s="229" t="str" cm="1">
        <f t="array" ref="D111">INDEX(Grid2!$W$27:$W$350,MATCH($H$6&amp;$C$103,Grid2!$U$27:$U$350&amp;Grid2!$V$27:$V$350,0))</f>
        <v>FY27R</v>
      </c>
      <c r="E111" s="229">
        <f>VLOOKUP(C111,Grid2!$K$2:$L$13,2,FALSE)</f>
        <v>6</v>
      </c>
      <c r="F111" s="246" cm="1">
        <f t="array" ref="F111">INDEX(hiredate2_salary,MATCH($D$109&amp;D111,exp_level_hire_date_2&amp;hiredate2_FY,0))</f>
        <v>6891.5015823867179</v>
      </c>
      <c r="G111" s="215">
        <v>1</v>
      </c>
      <c r="H111" s="11">
        <f>ROUND(B109*E111*F111*G111,0)</f>
        <v>0</v>
      </c>
    </row>
    <row r="112" spans="1:9" x14ac:dyDescent="0.2">
      <c r="A112" s="5"/>
      <c r="B112" s="443"/>
      <c r="C112" s="229" t="str">
        <f>INDEX(hiredate2_period3,MATCH(Grid!$K$1,Grid2!$D$2:$D$13))</f>
        <v>April - June</v>
      </c>
      <c r="D112" s="229" t="str" cm="1">
        <f t="array" ref="D112">INDEX(Grid2!$W$27:$W$350,MATCH($H$6&amp;$C$104,Grid2!$U$27:$U$350&amp;Grid2!$V$27:$V$350,0))</f>
        <v>FY27E</v>
      </c>
      <c r="E112" s="229">
        <f>VLOOKUP(C112,Grid2!$M$2:$N$13,2,FALSE)</f>
        <v>3</v>
      </c>
      <c r="F112" s="246" cm="1">
        <f t="array" ref="F112">INDEX(hiredate2_salary,MATCH(($D$109+1)&amp;D112,exp_level_hire_date_2&amp;hiredate2_FY,0))</f>
        <v>7146.4628068874981</v>
      </c>
      <c r="G112" s="215">
        <v>1</v>
      </c>
      <c r="H112" s="11">
        <f>ROUND(B109*E112*F112*G112,0)</f>
        <v>0</v>
      </c>
    </row>
    <row r="113" spans="1:16" x14ac:dyDescent="0.2">
      <c r="A113" s="5"/>
      <c r="B113" s="443">
        <v>0</v>
      </c>
      <c r="C113" s="6" t="s">
        <v>22</v>
      </c>
      <c r="D113" s="242">
        <v>4</v>
      </c>
      <c r="E113" s="458">
        <f>IF(D113=Blank,"Blank",D113+1)</f>
        <v>5</v>
      </c>
      <c r="F113" s="460"/>
      <c r="G113" s="447"/>
      <c r="H113" s="11"/>
    </row>
    <row r="114" spans="1:16" x14ac:dyDescent="0.2">
      <c r="A114" s="5"/>
      <c r="B114" s="443"/>
      <c r="C114" s="229" t="str">
        <f>INDEX(hiredate2_period1,MATCH(Grid!$K$1,Grid2!$D$2:$D$13))</f>
        <v>July - September</v>
      </c>
      <c r="D114" s="229" t="str" cm="1">
        <f t="array" ref="D114">INDEX(Grid2!$W$27:$W$350,MATCH($H$6&amp;$C$102,Grid2!$U$27:$U$350&amp;Grid2!$V$27:$V$350,0))</f>
        <v>FY26E</v>
      </c>
      <c r="E114" s="229">
        <f>VLOOKUP(C114,Grid2!$I$2:$J$13,2,FALSE)</f>
        <v>3</v>
      </c>
      <c r="F114" s="246" cm="1">
        <f t="array" ref="F114">INDEX(hiredate2_salary,MATCH($D$113&amp;D114,exp_level_hire_date_2&amp;hiredate2_FY,0))</f>
        <v>6658.4556351562496</v>
      </c>
      <c r="G114" s="215">
        <v>1</v>
      </c>
      <c r="H114" s="11">
        <f>ROUND(B113*E114*F114*G114,0)</f>
        <v>0</v>
      </c>
    </row>
    <row r="115" spans="1:16" x14ac:dyDescent="0.2">
      <c r="A115" s="5"/>
      <c r="B115" s="443"/>
      <c r="C115" s="229" t="str">
        <f>INDEX(Hiredate2_period2,MATCH(Grid!$K$1,Grid2!$D$2:$D$13))</f>
        <v>October - March</v>
      </c>
      <c r="D115" s="229" t="str" cm="1">
        <f t="array" ref="D115">INDEX(Grid2!$W$27:$W$350,MATCH($H$6&amp;$C$103,Grid2!$U$27:$U$350&amp;Grid2!$V$27:$V$350,0))</f>
        <v>FY27R</v>
      </c>
      <c r="E115" s="229">
        <f>VLOOKUP(C115,Grid2!$K$2:$L$13,2,FALSE)</f>
        <v>6</v>
      </c>
      <c r="F115" s="246" cm="1">
        <f t="array" ref="F115">INDEX(hiredate2_salary,MATCH(($D$113)&amp;D115,exp_level_hire_date_2&amp;hiredate2_FY,0))</f>
        <v>6891.5015823867179</v>
      </c>
      <c r="G115" s="215">
        <v>1</v>
      </c>
      <c r="H115" s="11">
        <f>ROUND(B113*E115*F115*G115,0)</f>
        <v>0</v>
      </c>
    </row>
    <row r="116" spans="1:16" x14ac:dyDescent="0.2">
      <c r="A116" s="5"/>
      <c r="B116" s="443"/>
      <c r="C116" s="229" t="str">
        <f>INDEX(hiredate2_period3,MATCH(Grid!$K$1,Grid2!$D$2:$D$13))</f>
        <v>April - June</v>
      </c>
      <c r="D116" s="229" t="str" cm="1">
        <f t="array" ref="D116">INDEX(Grid2!$W$27:$W$350,MATCH($H$6&amp;$C$104,Grid2!$U$27:$U$350&amp;Grid2!$V$27:$V$350,0))</f>
        <v>FY27E</v>
      </c>
      <c r="E116" s="229">
        <f>VLOOKUP(C116,Grid2!$M$2:$N$13,2,FALSE)</f>
        <v>3</v>
      </c>
      <c r="F116" s="246" cm="1">
        <f t="array" ref="F116">INDEX(hiredate2_salary,MATCH(($D$113+1)&amp;D116,exp_level_hire_date_2&amp;hiredate2_FY,0))</f>
        <v>7146.4628068874981</v>
      </c>
      <c r="G116" s="215">
        <v>1</v>
      </c>
      <c r="H116" s="11">
        <f>ROUND(B113*E116*F116*G116,0)</f>
        <v>0</v>
      </c>
    </row>
    <row r="117" spans="1:16" ht="13.5" thickBot="1" x14ac:dyDescent="0.25">
      <c r="A117" s="5"/>
      <c r="B117" s="442"/>
      <c r="C117" s="444" t="s">
        <v>1182</v>
      </c>
      <c r="D117" s="227"/>
      <c r="E117" s="225"/>
      <c r="F117" s="246"/>
      <c r="G117" s="215"/>
      <c r="H117" s="11"/>
    </row>
    <row r="118" spans="1:16" ht="13.5" thickBot="1" x14ac:dyDescent="0.25">
      <c r="A118" s="5"/>
      <c r="B118" s="442">
        <v>0</v>
      </c>
      <c r="C118" s="455" t="s">
        <v>22</v>
      </c>
      <c r="D118" s="457" t="s">
        <v>110</v>
      </c>
      <c r="E118" s="458" t="str">
        <f>IF(AND(G118&gt;5996,G118&lt;6350),5,"Blank")</f>
        <v>Blank</v>
      </c>
      <c r="F118" s="437" t="s">
        <v>1156</v>
      </c>
      <c r="G118" s="448">
        <v>6500</v>
      </c>
      <c r="H118" s="11"/>
    </row>
    <row r="119" spans="1:16" x14ac:dyDescent="0.2">
      <c r="A119" s="5"/>
      <c r="B119" s="442"/>
      <c r="C119" s="229" t="str">
        <f>INDEX(per_1_postdoc,MATCH(Grid!$K$1,Beg_mos_postdoc))</f>
        <v>July - September</v>
      </c>
      <c r="D119" s="230" t="str">
        <f t="array" ref="D119">INDEX(FY_postdoc,MATCH($H$6&amp;$C$119,date_postdoc&amp;cal_mos_postdoc,0))</f>
        <v>FY26</v>
      </c>
      <c r="E119" s="229">
        <f>VLOOKUP(C119,Grid2!$I$44:$J$55,2,FALSE)</f>
        <v>3</v>
      </c>
      <c r="F119" s="246">
        <f>G118</f>
        <v>6500</v>
      </c>
      <c r="G119" s="215">
        <v>1</v>
      </c>
      <c r="H119" s="11">
        <f>ROUND(B118*E119*F119*G119,0)</f>
        <v>0</v>
      </c>
    </row>
    <row r="120" spans="1:16" ht="13.5" thickBot="1" x14ac:dyDescent="0.25">
      <c r="A120" s="5"/>
      <c r="B120" s="442"/>
      <c r="C120" s="229" t="str">
        <f>INDEX(Per_2_postdoc,MATCH(Grid!$K$1,Beg_mos_postdoc))</f>
        <v>October - June</v>
      </c>
      <c r="D120" s="229" t="str" cm="1">
        <f t="array" ref="D120">INDEX(FY_postdoc,MATCH($H$6&amp;$C$120,date_postdoc&amp;cal_mos_postdoc,0))</f>
        <v>FY27</v>
      </c>
      <c r="E120" s="229">
        <f>VLOOKUP(C120,Grid2!$K$44:$L$55,2,FALSE)</f>
        <v>9</v>
      </c>
      <c r="F120" s="246" cm="1">
        <f t="array" ref="F120">INDEX(MonthlySalaryPX,MATCH(E118&amp;D120,PXlevel&amp;FYPX,0))</f>
        <v>7315.8072650000004</v>
      </c>
      <c r="G120" s="215">
        <v>1</v>
      </c>
      <c r="H120" s="11">
        <f>ROUND(B118*E120*F120*G120,0)</f>
        <v>0</v>
      </c>
      <c r="I120" s="12"/>
      <c r="J120" s="6"/>
    </row>
    <row r="121" spans="1:16" ht="13.5" thickBot="1" x14ac:dyDescent="0.25">
      <c r="A121" s="5"/>
      <c r="B121" s="442">
        <v>0</v>
      </c>
      <c r="C121" s="455" t="s">
        <v>22</v>
      </c>
      <c r="D121" s="457" t="s">
        <v>110</v>
      </c>
      <c r="E121" s="458" t="str">
        <f>IF(AND(G121&gt;5996,G121&lt;6350),5,"Blank")</f>
        <v>Blank</v>
      </c>
      <c r="F121" s="437" t="s">
        <v>1156</v>
      </c>
      <c r="G121" s="448">
        <v>7000</v>
      </c>
      <c r="H121" s="11"/>
      <c r="I121" s="12"/>
      <c r="J121" s="6"/>
    </row>
    <row r="122" spans="1:16" x14ac:dyDescent="0.2">
      <c r="A122" s="5"/>
      <c r="B122" s="442"/>
      <c r="C122" s="229" t="str">
        <f>INDEX(per_1_postdoc,MATCH(Grid!$K$1,Beg_mos_postdoc))</f>
        <v>July - September</v>
      </c>
      <c r="D122" s="230" t="str">
        <f t="array" ref="D122">INDEX(FY_postdoc,MATCH($H$6&amp;$C$119,date_postdoc&amp;cal_mos_postdoc,0))</f>
        <v>FY26</v>
      </c>
      <c r="E122" s="229">
        <f>VLOOKUP(C122,Grid2!$I$44:$J$55,2,FALSE)</f>
        <v>3</v>
      </c>
      <c r="F122" s="246">
        <f>G121</f>
        <v>7000</v>
      </c>
      <c r="G122" s="215">
        <v>1</v>
      </c>
      <c r="H122" s="11">
        <f>ROUND(B121*E122*F122*G122,0)</f>
        <v>0</v>
      </c>
      <c r="I122" s="12"/>
      <c r="J122" s="6"/>
    </row>
    <row r="123" spans="1:16" ht="13.5" thickBot="1" x14ac:dyDescent="0.25">
      <c r="A123" s="5"/>
      <c r="B123" s="442"/>
      <c r="C123" s="229" t="str">
        <f>INDEX(Per_2_postdoc,MATCH(Grid!$K$1,Beg_mos_postdoc))</f>
        <v>October - June</v>
      </c>
      <c r="D123" s="229" t="str" cm="1">
        <f t="array" ref="D123">INDEX(FY_postdoc,MATCH($H$6&amp;$C$120,date_postdoc&amp;cal_mos_postdoc,0))</f>
        <v>FY27</v>
      </c>
      <c r="E123" s="229">
        <f>VLOOKUP(C123,Grid2!$K$44:$L$55,2,FALSE)</f>
        <v>9</v>
      </c>
      <c r="F123" s="246" cm="1">
        <f t="array" ref="F123">INDEX(PX_salary2,MATCH(E121&amp;D123,exp_level_2&amp;PXFY2,0))</f>
        <v>7878.56167</v>
      </c>
      <c r="G123" s="215">
        <v>1</v>
      </c>
      <c r="H123" s="11">
        <f>ROUND(B121*E123*F123*G123,0)</f>
        <v>0</v>
      </c>
      <c r="I123" s="12"/>
      <c r="J123" s="6"/>
      <c r="L123" s="6"/>
      <c r="M123" s="6"/>
      <c r="N123" s="6"/>
      <c r="O123" s="6"/>
      <c r="P123" s="6"/>
    </row>
    <row r="124" spans="1:16" ht="13.5" thickBot="1" x14ac:dyDescent="0.25">
      <c r="A124" s="5"/>
      <c r="B124" s="442">
        <v>0</v>
      </c>
      <c r="C124" s="455" t="s">
        <v>22</v>
      </c>
      <c r="D124" s="457" t="s">
        <v>110</v>
      </c>
      <c r="E124" s="458" t="str">
        <f>IF(AND(G124&gt;5996,G124&lt;6350),5,"Blank")</f>
        <v>Blank</v>
      </c>
      <c r="F124" s="437" t="s">
        <v>1156</v>
      </c>
      <c r="G124" s="448">
        <v>7200</v>
      </c>
      <c r="H124" s="11"/>
      <c r="I124" s="12"/>
      <c r="J124" s="6"/>
    </row>
    <row r="125" spans="1:16" x14ac:dyDescent="0.2">
      <c r="A125" s="5"/>
      <c r="B125" s="442"/>
      <c r="C125" s="229" t="str">
        <f>INDEX(per_1_postdoc,MATCH(Grid!$K$1,Beg_mos_postdoc))</f>
        <v>July - September</v>
      </c>
      <c r="D125" s="230" t="str">
        <f t="array" ref="D125">INDEX(FY_postdoc,MATCH($H$6&amp;$C$119,date_postdoc&amp;cal_mos_postdoc,0))</f>
        <v>FY26</v>
      </c>
      <c r="E125" s="229">
        <f>VLOOKUP(C125,Grid2!$I$44:$J$55,2,FALSE)</f>
        <v>3</v>
      </c>
      <c r="F125" s="246">
        <f>G124</f>
        <v>7200</v>
      </c>
      <c r="G125" s="215">
        <v>1</v>
      </c>
      <c r="H125" s="11">
        <f>ROUND(B124*E125*F125*G125,0)</f>
        <v>0</v>
      </c>
      <c r="I125" s="12"/>
      <c r="J125" s="6"/>
      <c r="L125" s="12"/>
      <c r="M125" s="12"/>
      <c r="N125" s="12"/>
      <c r="O125" s="12"/>
      <c r="P125" s="12"/>
    </row>
    <row r="126" spans="1:16" x14ac:dyDescent="0.2">
      <c r="A126" s="5"/>
      <c r="B126" s="442"/>
      <c r="C126" s="229" t="str">
        <f>INDEX(Per_2_postdoc,MATCH(Grid!$K$1,Beg_mos_postdoc))</f>
        <v>October - June</v>
      </c>
      <c r="D126" s="229" t="str" cm="1">
        <f t="array" ref="D126">INDEX(FY_postdoc,MATCH($H$6&amp;$C$120,date_postdoc&amp;cal_mos_postdoc,0))</f>
        <v>FY27</v>
      </c>
      <c r="E126" s="229">
        <f>VLOOKUP(C126,Grid2!$K$44:$L$55,2,FALSE)</f>
        <v>9</v>
      </c>
      <c r="F126" s="246" cm="1">
        <f t="array" ref="F126">INDEX(PX_salary3,MATCH(E124&amp;D126,exp_level_3&amp;PXFY3,0))</f>
        <v>8103.6634320000012</v>
      </c>
      <c r="G126" s="215">
        <v>1</v>
      </c>
      <c r="H126" s="11">
        <f>ROUND(B124*E126*F126*G126,0)</f>
        <v>0</v>
      </c>
      <c r="I126" s="12"/>
      <c r="J126" s="6"/>
    </row>
    <row r="127" spans="1:16" x14ac:dyDescent="0.2">
      <c r="A127" s="5"/>
      <c r="B127" s="442">
        <v>0</v>
      </c>
      <c r="C127" s="6" t="s">
        <v>22</v>
      </c>
      <c r="D127" s="242">
        <v>4</v>
      </c>
      <c r="E127" s="458">
        <f>IF(D127=Blank,"Blank",D127+1)</f>
        <v>5</v>
      </c>
      <c r="F127" s="460"/>
      <c r="G127" s="447"/>
      <c r="H127" s="11"/>
      <c r="J127" s="6"/>
    </row>
    <row r="128" spans="1:16" x14ac:dyDescent="0.2">
      <c r="A128" s="5"/>
      <c r="B128" s="442"/>
      <c r="C128" s="229" t="str">
        <f>INDEX(per_1_postdoc,MATCH(Grid!$K$1,Beg_mos_postdoc))</f>
        <v>July - September</v>
      </c>
      <c r="D128" s="229" t="str">
        <f t="array" ref="D128">INDEX(FY_postdoc,MATCH($H$6&amp;$C$119,date_postdoc&amp;cal_mos_postdoc,0))</f>
        <v>FY26</v>
      </c>
      <c r="E128" s="229">
        <f>VLOOKUP(C128,Grid2!$I$44:$J$55,2,FALSE)</f>
        <v>3</v>
      </c>
      <c r="F128" s="246" cm="1">
        <f t="array" ref="F128">INDEX(MonthlySalaryPX,MATCH(D127&amp;D128,PXlevel&amp;FYPX,0))</f>
        <v>6656.666666666667</v>
      </c>
      <c r="G128" s="215">
        <v>1</v>
      </c>
      <c r="H128" s="11">
        <f>ROUND(B127*E128*F128*G128,0)</f>
        <v>0</v>
      </c>
      <c r="J128" s="6"/>
    </row>
    <row r="129" spans="1:10" x14ac:dyDescent="0.2">
      <c r="A129" s="5"/>
      <c r="B129" s="442"/>
      <c r="C129" s="229" t="str">
        <f>INDEX(Per_2_postdoc,MATCH(Grid!$K$1,Beg_mos_postdoc))</f>
        <v>October - June</v>
      </c>
      <c r="D129" s="229" t="str" cm="1">
        <f t="array" ref="D129">INDEX(FY_postdoc,MATCH($H$6&amp;$C$120,date_postdoc&amp;cal_mos_postdoc,0))</f>
        <v>FY27</v>
      </c>
      <c r="E129" s="229">
        <f>VLOOKUP(C129,Grid2!$K$44:$L$55,2,FALSE)</f>
        <v>9</v>
      </c>
      <c r="F129" s="246" cm="1">
        <f t="array" ref="F129">INDEX(MonthlySalaryPX,MATCH(E127&amp;D129,PXlevel&amp;FYPX,0))</f>
        <v>7144.416666666667</v>
      </c>
      <c r="G129" s="215">
        <v>1</v>
      </c>
      <c r="H129" s="11">
        <f>ROUND(B127*E129*F129*G129,0)</f>
        <v>0</v>
      </c>
      <c r="J129" s="6"/>
    </row>
    <row r="130" spans="1:10" x14ac:dyDescent="0.2">
      <c r="A130" s="5"/>
      <c r="B130" s="442">
        <v>0</v>
      </c>
      <c r="C130" s="6" t="s">
        <v>22</v>
      </c>
      <c r="D130" s="242">
        <v>5</v>
      </c>
      <c r="E130" s="458">
        <f>IF(D130=Blank,"Blank",D130+1)</f>
        <v>6</v>
      </c>
      <c r="F130" s="460"/>
      <c r="G130" s="447"/>
      <c r="H130" s="11"/>
      <c r="J130" s="6"/>
    </row>
    <row r="131" spans="1:10" x14ac:dyDescent="0.2">
      <c r="A131" s="5"/>
      <c r="B131" s="442"/>
      <c r="C131" s="229" t="str">
        <f>INDEX(per_1_postdoc,MATCH(Grid!$K$1,Beg_mos_postdoc))</f>
        <v>July - September</v>
      </c>
      <c r="D131" s="229" t="str">
        <f t="array" ref="D131">INDEX(FY_postdoc,MATCH($H$6&amp;$C$119,date_postdoc&amp;cal_mos_postdoc,0))</f>
        <v>FY26</v>
      </c>
      <c r="E131" s="229">
        <f>VLOOKUP(C131,Grid2!$I$44:$J$55,2,FALSE)</f>
        <v>3</v>
      </c>
      <c r="F131" s="246" cm="1">
        <f t="array" ref="F131">INDEX(MonthlySalaryPX,MATCH(D130&amp;D131,PXlevel&amp;FYPX,0))</f>
        <v>6902.833333333333</v>
      </c>
      <c r="G131" s="215">
        <v>1</v>
      </c>
      <c r="H131" s="11">
        <f>ROUND(B130*E131*F131*G131,0)</f>
        <v>0</v>
      </c>
      <c r="J131" s="6"/>
    </row>
    <row r="132" spans="1:10" x14ac:dyDescent="0.2">
      <c r="A132" s="5"/>
      <c r="B132" s="442"/>
      <c r="C132" s="229" t="str">
        <f>INDEX(Per_2_postdoc,MATCH(Grid!$K$1,Beg_mos_postdoc))</f>
        <v>October - June</v>
      </c>
      <c r="D132" s="229" t="str" cm="1">
        <f t="array" ref="D132">INDEX(FY_postdoc,MATCH($H$6&amp;$C$120,date_postdoc&amp;cal_mos_postdoc,0))</f>
        <v>FY27</v>
      </c>
      <c r="E132" s="229">
        <f>VLOOKUP(C132,Grid2!$K$44:$L$55,2,FALSE)</f>
        <v>9</v>
      </c>
      <c r="F132" s="246" cm="1">
        <f t="array" ref="F132">INDEX(MonthlySalaryPX,MATCH(E130&amp;D132,PXlevel&amp;FYPX,0))</f>
        <v>7144.432499999999</v>
      </c>
      <c r="G132" s="215">
        <v>1</v>
      </c>
      <c r="H132" s="11">
        <f>ROUND(B130*E132*F132*G132,0)</f>
        <v>0</v>
      </c>
      <c r="J132" s="6"/>
    </row>
    <row r="133" spans="1:10" x14ac:dyDescent="0.2">
      <c r="A133" s="5"/>
      <c r="B133" s="442">
        <v>0</v>
      </c>
      <c r="C133" s="6" t="s">
        <v>22</v>
      </c>
      <c r="D133" s="242">
        <v>5</v>
      </c>
      <c r="E133" s="458">
        <f>IF(D133=Blank,"Blank",D133+1)</f>
        <v>6</v>
      </c>
      <c r="F133" s="460"/>
      <c r="G133" s="447"/>
      <c r="H133" s="11"/>
      <c r="J133" s="6"/>
    </row>
    <row r="134" spans="1:10" x14ac:dyDescent="0.2">
      <c r="A134" s="5"/>
      <c r="B134" s="442"/>
      <c r="C134" s="229" t="str">
        <f>INDEX(per_1_postdoc,MATCH(Grid!$K$1,Beg_mos_postdoc))</f>
        <v>July - September</v>
      </c>
      <c r="D134" s="229" t="str">
        <f t="array" ref="D134">INDEX(FY_postdoc,MATCH($H$6&amp;$C$119,date_postdoc&amp;cal_mos_postdoc,0))</f>
        <v>FY26</v>
      </c>
      <c r="E134" s="229">
        <f>VLOOKUP(C134,Grid2!$I$44:$J$55,2,FALSE)</f>
        <v>3</v>
      </c>
      <c r="F134" s="246" cm="1">
        <f t="array" ref="F134">INDEX(MonthlySalaryPX,MATCH(D133&amp;D134,PXlevel&amp;FYPX,0))</f>
        <v>6902.833333333333</v>
      </c>
      <c r="G134" s="215">
        <v>1</v>
      </c>
      <c r="H134" s="11">
        <f>ROUND(B133*E134*F134*G134,0)</f>
        <v>0</v>
      </c>
      <c r="J134" s="6"/>
    </row>
    <row r="135" spans="1:10" x14ac:dyDescent="0.2">
      <c r="A135" s="5"/>
      <c r="B135" s="442"/>
      <c r="C135" s="229" t="str">
        <f>INDEX(Per_2_postdoc,MATCH(Grid!$K$1,Beg_mos_postdoc))</f>
        <v>October - June</v>
      </c>
      <c r="D135" s="229" t="str" cm="1">
        <f t="array" ref="D135">INDEX(FY_postdoc,MATCH($H$6&amp;$C$120,date_postdoc&amp;cal_mos_postdoc,0))</f>
        <v>FY27</v>
      </c>
      <c r="E135" s="229">
        <f>VLOOKUP(C135,Grid2!$K$44:$L$55,2,FALSE)</f>
        <v>9</v>
      </c>
      <c r="F135" s="246" cm="1">
        <f t="array" ref="F135">INDEX(MonthlySalaryPX,MATCH(E133&amp;D135,PXlevel&amp;FYPX,0))</f>
        <v>7144.432499999999</v>
      </c>
      <c r="G135" s="215">
        <v>1</v>
      </c>
      <c r="H135" s="11">
        <f>ROUND(B133*E135*F135*G135,0)</f>
        <v>0</v>
      </c>
      <c r="J135" s="6"/>
    </row>
    <row r="136" spans="1:10" x14ac:dyDescent="0.2">
      <c r="A136" s="5"/>
      <c r="B136" s="442">
        <v>0</v>
      </c>
      <c r="C136" s="6" t="s">
        <v>22</v>
      </c>
      <c r="D136" s="242">
        <v>5</v>
      </c>
      <c r="E136" s="458">
        <f>IF(D136=Blank,"Blank",D136+1)</f>
        <v>6</v>
      </c>
      <c r="F136" s="460"/>
      <c r="G136" s="447"/>
      <c r="H136" s="11"/>
      <c r="J136" s="6"/>
    </row>
    <row r="137" spans="1:10" x14ac:dyDescent="0.2">
      <c r="A137" s="5"/>
      <c r="B137" s="442"/>
      <c r="C137" s="229" t="str">
        <f>INDEX(per_1_postdoc,MATCH(Grid!$K$1,Beg_mos_postdoc))</f>
        <v>July - September</v>
      </c>
      <c r="D137" s="229" t="str">
        <f t="array" ref="D137">INDEX(FY_postdoc,MATCH($H$6&amp;$C$119,date_postdoc&amp;cal_mos_postdoc,0))</f>
        <v>FY26</v>
      </c>
      <c r="E137" s="229">
        <f>VLOOKUP(C137,Grid2!$I$44:$J$55,2,FALSE)</f>
        <v>3</v>
      </c>
      <c r="F137" s="246" cm="1">
        <f t="array" ref="F137">INDEX(MonthlySalaryPX,MATCH(D136&amp;D137,PXlevel&amp;FYPX,0))</f>
        <v>6902.833333333333</v>
      </c>
      <c r="G137" s="215">
        <v>1</v>
      </c>
      <c r="H137" s="11">
        <f>ROUND(B136*E137*F137*G137,0)</f>
        <v>0</v>
      </c>
      <c r="J137" s="6"/>
    </row>
    <row r="138" spans="1:10" x14ac:dyDescent="0.2">
      <c r="A138" s="5"/>
      <c r="B138" s="442"/>
      <c r="C138" s="229" t="str">
        <f>INDEX(Per_2_postdoc,MATCH(Grid!$K$1,Beg_mos_postdoc))</f>
        <v>October - June</v>
      </c>
      <c r="D138" s="229" t="str" cm="1">
        <f t="array" ref="D138">INDEX(FY_postdoc,MATCH($H$6&amp;$C$120,date_postdoc&amp;cal_mos_postdoc,0))</f>
        <v>FY27</v>
      </c>
      <c r="E138" s="229">
        <f>VLOOKUP(C138,Grid2!$K$44:$L$55,2,FALSE)</f>
        <v>9</v>
      </c>
      <c r="F138" s="246" cm="1">
        <f t="array" ref="F138">INDEX(MonthlySalaryPX,MATCH(E136&amp;D138,PXlevel&amp;FYPX,0))</f>
        <v>7144.432499999999</v>
      </c>
      <c r="G138" s="215">
        <v>1</v>
      </c>
      <c r="H138" s="11">
        <f>ROUND(B136*E138*F138*G138,0)</f>
        <v>0</v>
      </c>
      <c r="J138" s="6"/>
    </row>
    <row r="139" spans="1:10" x14ac:dyDescent="0.2">
      <c r="A139" s="5"/>
      <c r="B139" s="442">
        <v>0</v>
      </c>
      <c r="C139" s="6" t="s">
        <v>22</v>
      </c>
      <c r="D139" s="242">
        <v>5</v>
      </c>
      <c r="E139" s="458">
        <f>IF(D139=Blank,"Blank",D139+1)</f>
        <v>6</v>
      </c>
      <c r="F139" s="460"/>
      <c r="G139" s="447"/>
      <c r="H139" s="11"/>
      <c r="J139" s="6"/>
    </row>
    <row r="140" spans="1:10" x14ac:dyDescent="0.2">
      <c r="A140" s="5"/>
      <c r="B140" s="442"/>
      <c r="C140" s="229" t="str">
        <f>INDEX(per_1_postdoc,MATCH(Grid!$K$1,Beg_mos_postdoc))</f>
        <v>July - September</v>
      </c>
      <c r="D140" s="229" t="str">
        <f t="array" ref="D140">INDEX(FY_postdoc,MATCH($H$6&amp;$C$119,date_postdoc&amp;cal_mos_postdoc,0))</f>
        <v>FY26</v>
      </c>
      <c r="E140" s="229">
        <f>VLOOKUP(C140,Grid2!$I$44:$J$55,2,FALSE)</f>
        <v>3</v>
      </c>
      <c r="F140" s="246" cm="1">
        <f t="array" ref="F140">INDEX(MonthlySalaryPX,MATCH(D139&amp;D140,PXlevel&amp;FYPX,0))</f>
        <v>6902.833333333333</v>
      </c>
      <c r="G140" s="215">
        <v>1</v>
      </c>
      <c r="H140" s="11">
        <f>ROUND(B139*E140*F140*G140,0)</f>
        <v>0</v>
      </c>
      <c r="J140" s="6"/>
    </row>
    <row r="141" spans="1:10" x14ac:dyDescent="0.2">
      <c r="A141" s="5"/>
      <c r="B141" s="442"/>
      <c r="C141" s="229" t="str">
        <f>INDEX(Per_2_postdoc,MATCH(Grid!$K$1,Beg_mos_postdoc))</f>
        <v>October - June</v>
      </c>
      <c r="D141" s="229" t="str" cm="1">
        <f t="array" ref="D141">INDEX(FY_postdoc,MATCH($H$6&amp;$C$120,date_postdoc&amp;cal_mos_postdoc,0))</f>
        <v>FY27</v>
      </c>
      <c r="E141" s="229">
        <f>VLOOKUP(C141,Grid2!$K$44:$L$55,2,FALSE)</f>
        <v>9</v>
      </c>
      <c r="F141" s="246" cm="1">
        <f t="array" ref="F141">INDEX(MonthlySalaryPX,MATCH(E139&amp;D141,PXlevel&amp;FYPX,0))</f>
        <v>7144.432499999999</v>
      </c>
      <c r="G141" s="215">
        <v>1</v>
      </c>
      <c r="H141" s="11">
        <f>ROUND(B139*E141*F141*G141,0)</f>
        <v>0</v>
      </c>
      <c r="J141" s="6"/>
    </row>
    <row r="142" spans="1:10" x14ac:dyDescent="0.2">
      <c r="A142" s="5"/>
      <c r="B142" s="442">
        <v>0</v>
      </c>
      <c r="C142" s="6" t="s">
        <v>22</v>
      </c>
      <c r="D142" s="242">
        <v>5</v>
      </c>
      <c r="E142" s="458">
        <f>IF(D142=Blank,"Blank",D142+1)</f>
        <v>6</v>
      </c>
      <c r="F142" s="460"/>
      <c r="G142" s="447"/>
      <c r="H142" s="11"/>
      <c r="J142" s="6"/>
    </row>
    <row r="143" spans="1:10" x14ac:dyDescent="0.2">
      <c r="A143" s="5"/>
      <c r="B143" s="442"/>
      <c r="C143" s="229" t="str">
        <f>INDEX(per_1_postdoc,MATCH(Grid!$K$1,Beg_mos_postdoc))</f>
        <v>July - September</v>
      </c>
      <c r="D143" s="229" t="str">
        <f t="array" ref="D143">INDEX(FY_postdoc,MATCH($H$6&amp;$C$119,date_postdoc&amp;cal_mos_postdoc,0))</f>
        <v>FY26</v>
      </c>
      <c r="E143" s="229">
        <f>VLOOKUP(C143,Grid2!$I$44:$J$55,2,FALSE)</f>
        <v>3</v>
      </c>
      <c r="F143" s="246" cm="1">
        <f t="array" ref="F143">INDEX(MonthlySalaryPX,MATCH(D142&amp;D143,PXlevel&amp;FYPX,0))</f>
        <v>6902.833333333333</v>
      </c>
      <c r="G143" s="215">
        <v>1</v>
      </c>
      <c r="H143" s="11">
        <f>ROUND(B142*E143*F143*G143,0)</f>
        <v>0</v>
      </c>
      <c r="J143" s="6"/>
    </row>
    <row r="144" spans="1:10" x14ac:dyDescent="0.2">
      <c r="A144" s="5"/>
      <c r="B144" s="442"/>
      <c r="C144" s="229" t="str">
        <f>INDEX(Per_2_postdoc,MATCH(Grid!$K$1,Beg_mos_postdoc))</f>
        <v>October - June</v>
      </c>
      <c r="D144" s="229" t="str" cm="1">
        <f t="array" ref="D144">INDEX(FY_postdoc,MATCH($H$6&amp;$C$120,date_postdoc&amp;cal_mos_postdoc,0))</f>
        <v>FY27</v>
      </c>
      <c r="E144" s="229">
        <f>VLOOKUP(C144,Grid2!$K$44:$L$55,2,FALSE)</f>
        <v>9</v>
      </c>
      <c r="F144" s="246" cm="1">
        <f t="array" ref="F144">INDEX(MonthlySalaryPX,MATCH(E142&amp;D144,PXlevel&amp;FYPX,0))</f>
        <v>7144.432499999999</v>
      </c>
      <c r="G144" s="215">
        <v>1</v>
      </c>
      <c r="H144" s="11">
        <f>ROUND(B142*E144*F144*G144,0)</f>
        <v>0</v>
      </c>
      <c r="J144" s="6"/>
    </row>
    <row r="145" spans="1:10" x14ac:dyDescent="0.2">
      <c r="A145" s="5"/>
      <c r="B145" s="442">
        <v>0</v>
      </c>
      <c r="C145" s="6" t="s">
        <v>22</v>
      </c>
      <c r="D145" s="242">
        <v>5</v>
      </c>
      <c r="E145" s="458">
        <f>IF(D145=Blank,"Blank",D145+1)</f>
        <v>6</v>
      </c>
      <c r="F145" s="460"/>
      <c r="G145" s="447"/>
      <c r="H145" s="11"/>
      <c r="J145" s="6"/>
    </row>
    <row r="146" spans="1:10" x14ac:dyDescent="0.2">
      <c r="A146" s="5"/>
      <c r="B146" s="442"/>
      <c r="C146" s="229" t="str">
        <f>INDEX(per_1_postdoc,MATCH(Grid!$K$1,Beg_mos_postdoc))</f>
        <v>July - September</v>
      </c>
      <c r="D146" s="229" t="str">
        <f t="array" ref="D146">INDEX(FY_postdoc,MATCH($H$6&amp;$C$119,date_postdoc&amp;cal_mos_postdoc,0))</f>
        <v>FY26</v>
      </c>
      <c r="E146" s="229">
        <f>VLOOKUP(C146,Grid2!$I$44:$J$55,2,FALSE)</f>
        <v>3</v>
      </c>
      <c r="F146" s="246" cm="1">
        <f t="array" ref="F146">INDEX(MonthlySalaryPX,MATCH(D145&amp;D146,PXlevel&amp;FYPX,0))</f>
        <v>6902.833333333333</v>
      </c>
      <c r="G146" s="215">
        <v>1</v>
      </c>
      <c r="H146" s="11">
        <f>ROUND(B145*E146*F146*G146,0)</f>
        <v>0</v>
      </c>
      <c r="J146" s="6"/>
    </row>
    <row r="147" spans="1:10" ht="13.5" customHeight="1" x14ac:dyDescent="0.2">
      <c r="A147" s="5"/>
      <c r="B147" s="442"/>
      <c r="C147" s="229" t="str">
        <f>INDEX(Per_2_postdoc,MATCH(Grid!$K$1,Beg_mos_postdoc))</f>
        <v>October - June</v>
      </c>
      <c r="D147" s="229" t="str" cm="1">
        <f t="array" ref="D147">INDEX(FY_postdoc,MATCH($H$6&amp;$C$120,date_postdoc&amp;cal_mos_postdoc,0))</f>
        <v>FY27</v>
      </c>
      <c r="E147" s="229">
        <f>VLOOKUP(C147,Grid2!$K$44:$L$55,2,FALSE)</f>
        <v>9</v>
      </c>
      <c r="F147" s="246" cm="1">
        <f t="array" ref="F147">INDEX(MonthlySalaryPX,MATCH(E145&amp;D147,PXlevel&amp;FYPX,0))</f>
        <v>7144.432499999999</v>
      </c>
      <c r="G147" s="215">
        <v>1</v>
      </c>
      <c r="H147" s="11">
        <f>ROUND(B145*E147*F147*G147,0)</f>
        <v>0</v>
      </c>
      <c r="J147" s="6"/>
    </row>
    <row r="148" spans="1:10" ht="13.5" thickBot="1" x14ac:dyDescent="0.25">
      <c r="A148" s="5"/>
      <c r="C148" s="13" t="s">
        <v>133</v>
      </c>
      <c r="D148" s="427" t="s">
        <v>1127</v>
      </c>
      <c r="E148" s="224"/>
      <c r="F148" s="297">
        <f>H147+H146+H144+H143+H141+H140+H138+H137+H135+H134+H132+H131+H129+H128+H120+H119+H116+H115+H114+H112+H111+H110+H108+H107+H106+H104+H103+H102+H122+H123+H125+H126</f>
        <v>0</v>
      </c>
      <c r="G148" s="8" t="s">
        <v>9</v>
      </c>
      <c r="H148" s="21">
        <f>SUM(H84:H147)</f>
        <v>0</v>
      </c>
    </row>
    <row r="149" spans="1:10" ht="13.5" thickBot="1" x14ac:dyDescent="0.25">
      <c r="A149" s="233" t="s">
        <v>15</v>
      </c>
      <c r="B149" s="234"/>
      <c r="C149" s="234"/>
      <c r="D149" s="234"/>
      <c r="E149" s="234"/>
      <c r="F149" s="234"/>
      <c r="G149" s="234"/>
      <c r="H149" s="235">
        <f>H23+H81+H148</f>
        <v>0</v>
      </c>
    </row>
    <row r="150" spans="1:10" x14ac:dyDescent="0.2">
      <c r="A150" s="3" t="s">
        <v>16</v>
      </c>
      <c r="B150" s="14"/>
      <c r="C150" s="2"/>
      <c r="D150" s="2"/>
      <c r="E150" s="2"/>
      <c r="F150" s="2"/>
      <c r="G150" s="14" t="s">
        <v>20</v>
      </c>
      <c r="H150" s="121" t="s">
        <v>8</v>
      </c>
    </row>
    <row r="151" spans="1:10" x14ac:dyDescent="0.2">
      <c r="A151" s="5"/>
      <c r="B151" s="6" t="s">
        <v>19</v>
      </c>
      <c r="C151" s="6"/>
      <c r="D151" s="6"/>
      <c r="E151" s="6"/>
      <c r="F151" s="262" t="s">
        <v>543</v>
      </c>
      <c r="G151" s="23">
        <f>LOOKUP($B$8,Grid!$E$331:$E$414,Grid!$H$331:$H$414)</f>
        <v>0.153</v>
      </c>
      <c r="H151" s="11">
        <f>(SUMIF($B$12:$B$22,"Academic",$H$12:$H$22)*$G$151)</f>
        <v>0</v>
      </c>
    </row>
    <row r="152" spans="1:10" x14ac:dyDescent="0.2">
      <c r="A152" s="5"/>
      <c r="B152" s="6"/>
      <c r="C152" s="6"/>
      <c r="D152" s="6"/>
      <c r="E152" s="6"/>
      <c r="F152" s="262" t="s">
        <v>1185</v>
      </c>
      <c r="G152" s="23">
        <f>LOOKUP($B$8,Grid!$E$331:$E$414,Grid!$G$331:$G$414)</f>
        <v>0.36799999999999999</v>
      </c>
      <c r="H152" s="11">
        <f>(SUMIF($B$12:$B$22,"Calendar",$H$12:$H$22)*$G$152)</f>
        <v>0</v>
      </c>
    </row>
    <row r="153" spans="1:10" x14ac:dyDescent="0.2">
      <c r="A153" s="5"/>
      <c r="B153" s="6"/>
      <c r="C153" s="6"/>
      <c r="D153" s="6"/>
      <c r="E153" s="6"/>
      <c r="F153" s="262" t="s">
        <v>1184</v>
      </c>
      <c r="G153" s="23">
        <f>LOOKUP($B$8,Grid!$E$331:$E$414,Grid!$I$331:$I$414)</f>
        <v>0.153</v>
      </c>
      <c r="H153" s="11">
        <f>(SUMIF($B$12:$B$22,"Recall",$H$12:$H$22)*$G$153)</f>
        <v>0</v>
      </c>
    </row>
    <row r="154" spans="1:10" x14ac:dyDescent="0.2">
      <c r="A154" s="5"/>
      <c r="B154" s="6"/>
      <c r="C154" s="6"/>
      <c r="D154" s="13" t="s">
        <v>208</v>
      </c>
      <c r="E154" s="60">
        <f>C25+C33+C41+C49+C57+C65+C73</f>
        <v>0</v>
      </c>
      <c r="F154" s="6"/>
      <c r="G154" s="23"/>
      <c r="H154" s="11"/>
    </row>
    <row r="155" spans="1:10" x14ac:dyDescent="0.2">
      <c r="A155" s="5"/>
      <c r="B155" s="6"/>
      <c r="C155" s="15" t="s">
        <v>52</v>
      </c>
      <c r="D155" s="15"/>
      <c r="E155" s="421">
        <v>0</v>
      </c>
      <c r="F155" s="22"/>
      <c r="G155" s="24"/>
      <c r="H155" s="25"/>
    </row>
    <row r="156" spans="1:10" x14ac:dyDescent="0.2">
      <c r="A156" s="5"/>
      <c r="B156" s="22"/>
      <c r="C156" s="15" t="s">
        <v>53</v>
      </c>
      <c r="D156" s="15"/>
      <c r="E156" s="421">
        <v>0</v>
      </c>
      <c r="F156" s="22"/>
      <c r="G156" s="24"/>
      <c r="H156" s="25"/>
    </row>
    <row r="157" spans="1:10" x14ac:dyDescent="0.2">
      <c r="A157" s="5"/>
      <c r="B157" s="22"/>
      <c r="C157" s="15"/>
      <c r="D157" s="15" t="s">
        <v>550</v>
      </c>
      <c r="E157" s="13"/>
      <c r="F157" s="13" t="s">
        <v>551</v>
      </c>
      <c r="G157" s="24"/>
      <c r="H157" s="25"/>
    </row>
    <row r="158" spans="1:10" x14ac:dyDescent="0.2">
      <c r="A158" s="5"/>
      <c r="B158" s="22" t="s">
        <v>21</v>
      </c>
      <c r="C158" s="22"/>
      <c r="D158" s="240">
        <f>LOOKUP($H$6,Grid!$E$230:$E$325,Grid!$G$230:$G$325)</f>
        <v>3484</v>
      </c>
      <c r="E158" s="113"/>
      <c r="F158" s="240">
        <f>LOOKUP($H$6,Grid!$E$230:$E$325,Grid!$H$230:$H$325)</f>
        <v>3484</v>
      </c>
      <c r="G158" s="240">
        <f>ROUND(D158+F158,0)</f>
        <v>6968</v>
      </c>
      <c r="H158" s="25">
        <f>ROUND(SUM(E155:E156)*G158,0)</f>
        <v>0</v>
      </c>
    </row>
    <row r="159" spans="1:10" x14ac:dyDescent="0.2">
      <c r="A159" s="107"/>
      <c r="B159" s="22" t="s">
        <v>501</v>
      </c>
      <c r="C159" s="22"/>
      <c r="D159" s="240">
        <f>LOOKUP($H$6,Grid!$E$230:$E$325,Grid!$I$230:$I$325)</f>
        <v>8721</v>
      </c>
      <c r="E159" s="113"/>
      <c r="F159" s="240">
        <f>LOOKUP($H$6,Grid!$E$230:$E$325,Grid!$J$230:$J$325)</f>
        <v>8721</v>
      </c>
      <c r="G159" s="240">
        <f>ROUND(D159+F159,0)</f>
        <v>17442</v>
      </c>
      <c r="H159" s="25">
        <f>ROUND(E155*G159,0)</f>
        <v>0</v>
      </c>
    </row>
    <row r="160" spans="1:10" x14ac:dyDescent="0.2">
      <c r="A160" s="107"/>
      <c r="B160" s="22" t="s">
        <v>502</v>
      </c>
      <c r="C160" s="22"/>
      <c r="D160" s="240">
        <f>LOOKUP($H$6,Grid!$E$230:$E$325,Grid!$K$230:$K$325)</f>
        <v>8721</v>
      </c>
      <c r="E160" s="113"/>
      <c r="F160" s="240">
        <f>LOOKUP($H$6,Grid!$E$230:$E$325,Grid!$L$230:$L$325)</f>
        <v>8721</v>
      </c>
      <c r="G160" s="240">
        <f>ROUND(D160+F160,0)</f>
        <v>17442</v>
      </c>
      <c r="H160" s="25">
        <f>ROUND(E156*G160,0)</f>
        <v>0</v>
      </c>
    </row>
    <row r="161" spans="1:9" x14ac:dyDescent="0.2">
      <c r="A161" s="5"/>
      <c r="B161" s="22" t="s">
        <v>503</v>
      </c>
      <c r="C161" s="22"/>
      <c r="D161" s="240">
        <f>LOOKUP($H$6,Grid!$E$230:$E$325,Grid!$M$230:$M$325)</f>
        <v>8167</v>
      </c>
      <c r="E161" s="113"/>
      <c r="F161" s="240">
        <f ca="1">LOOKUP($H$6,Grid!$E$230:$E$325,Grid!$N$230:$N$313)</f>
        <v>8167</v>
      </c>
      <c r="G161" s="240">
        <f ca="1">ROUND(D161+F161,0)</f>
        <v>16334</v>
      </c>
      <c r="H161" s="25">
        <f ca="1">E156*G161</f>
        <v>0</v>
      </c>
      <c r="I161" s="12"/>
    </row>
    <row r="162" spans="1:9" x14ac:dyDescent="0.2">
      <c r="A162" s="5"/>
      <c r="B162" s="6" t="s">
        <v>690</v>
      </c>
      <c r="C162" s="6"/>
      <c r="D162" s="6"/>
      <c r="E162" s="430" t="s">
        <v>20</v>
      </c>
      <c r="F162" s="431">
        <f>VLOOKUP(H6,Grid2!$F$60:$G$137,2,FALSE)</f>
        <v>7.1999999999999998E-3</v>
      </c>
      <c r="G162" s="246">
        <f>IF(OR(D10="Non-Federal"),(H149-F148-H81-H89-H90-H91)*(F162),H149*0)</f>
        <v>0</v>
      </c>
      <c r="H162" s="11">
        <f>G162</f>
        <v>0</v>
      </c>
    </row>
    <row r="163" spans="1:9" x14ac:dyDescent="0.2">
      <c r="A163" s="5"/>
      <c r="B163" s="6" t="s">
        <v>797</v>
      </c>
      <c r="C163" s="22"/>
      <c r="D163" s="204"/>
      <c r="E163" s="113"/>
      <c r="F163" s="204"/>
      <c r="G163" s="465">
        <f>LOOKUP($B$8,Grid!$E$142:$E$225,Grid!$J$142:$J$225)</f>
        <v>2.3E-2</v>
      </c>
      <c r="H163" s="25">
        <f>ROUND((H89+H81+H90+H91)*G163,0)</f>
        <v>0</v>
      </c>
    </row>
    <row r="164" spans="1:9" x14ac:dyDescent="0.2">
      <c r="A164" s="5"/>
      <c r="B164" s="22" t="s">
        <v>22</v>
      </c>
      <c r="C164" s="22"/>
      <c r="D164" s="22"/>
      <c r="E164" s="22"/>
      <c r="F164" s="22"/>
      <c r="G164" s="465">
        <f>LOOKUP($B$8,Grid!$E$142:$E$225,Grid!$I$142:$I$225)</f>
        <v>0.153</v>
      </c>
      <c r="H164" s="25">
        <f>ROUND((F148)*G164,0)</f>
        <v>0</v>
      </c>
    </row>
    <row r="165" spans="1:9" x14ac:dyDescent="0.2">
      <c r="A165" s="5"/>
      <c r="B165" s="22" t="s">
        <v>514</v>
      </c>
      <c r="C165" s="22"/>
      <c r="D165" s="22"/>
      <c r="E165" s="22"/>
      <c r="F165" s="22"/>
      <c r="G165" s="465">
        <f>LOOKUP($B$8,Grid!$E$142:$E$225,Grid!$G$142:$G$225)</f>
        <v>0.36799999999999999</v>
      </c>
      <c r="H165" s="25">
        <f>ROUND((H84+H85+H87+H88)*G165,0)</f>
        <v>0</v>
      </c>
    </row>
    <row r="166" spans="1:9" x14ac:dyDescent="0.2">
      <c r="A166" s="5"/>
      <c r="B166" s="6" t="s">
        <v>1302</v>
      </c>
      <c r="C166" s="22"/>
      <c r="D166" s="22"/>
      <c r="E166" s="22"/>
      <c r="F166" s="22"/>
      <c r="G166" s="465">
        <f>LOOKUP($B$8,Grid!$E$142:$E$225,Grid!$G$142:$G$225)</f>
        <v>0.36799999999999999</v>
      </c>
      <c r="H166" s="25">
        <f>ROUND((H97+H98)*G166,0)</f>
        <v>0</v>
      </c>
    </row>
    <row r="167" spans="1:9" ht="13.5" thickBot="1" x14ac:dyDescent="0.25">
      <c r="A167" s="5"/>
      <c r="B167" s="22" t="s">
        <v>107</v>
      </c>
      <c r="C167" s="22"/>
      <c r="D167" s="22"/>
      <c r="E167" s="22"/>
      <c r="F167" s="22"/>
      <c r="G167" s="465">
        <f>LOOKUP($B$8,Grid!$E$142:$E$225,Grid!$H$142:$H$225)</f>
        <v>0.44800000000000001</v>
      </c>
      <c r="H167" s="25">
        <f>ROUND(SUM(H92:H96)*G167,0)</f>
        <v>0</v>
      </c>
    </row>
    <row r="168" spans="1:9" ht="13.5" thickBot="1" x14ac:dyDescent="0.25">
      <c r="A168" s="233" t="s">
        <v>135</v>
      </c>
      <c r="B168" s="234"/>
      <c r="C168" s="234"/>
      <c r="D168" s="234"/>
      <c r="E168" s="234"/>
      <c r="F168" s="234"/>
      <c r="G168" s="236"/>
      <c r="H168" s="235">
        <f ca="1">SUM(H151:H167)</f>
        <v>0</v>
      </c>
    </row>
    <row r="169" spans="1:9" ht="13.5" thickBot="1" x14ac:dyDescent="0.25">
      <c r="A169" s="233" t="s">
        <v>34</v>
      </c>
      <c r="B169" s="234"/>
      <c r="C169" s="234"/>
      <c r="D169" s="234"/>
      <c r="E169" s="234"/>
      <c r="F169" s="234"/>
      <c r="G169" s="234"/>
      <c r="H169" s="235">
        <f ca="1">H168+H149</f>
        <v>0</v>
      </c>
    </row>
    <row r="170" spans="1:9" x14ac:dyDescent="0.2">
      <c r="A170" s="237" t="s">
        <v>1</v>
      </c>
      <c r="B170" s="225"/>
      <c r="C170" s="230">
        <f>C6</f>
        <v>0</v>
      </c>
      <c r="D170" s="230"/>
      <c r="E170" s="230"/>
      <c r="F170" s="230"/>
      <c r="G170" s="230"/>
      <c r="H170" s="238"/>
    </row>
    <row r="171" spans="1:9" x14ac:dyDescent="0.2">
      <c r="A171" s="237" t="s">
        <v>2</v>
      </c>
      <c r="B171" s="239">
        <f>B7</f>
        <v>0</v>
      </c>
      <c r="C171" s="230"/>
      <c r="D171" s="230"/>
      <c r="E171" s="230"/>
      <c r="F171" s="230"/>
      <c r="G171" s="230"/>
      <c r="H171" s="240"/>
    </row>
    <row r="172" spans="1:9" x14ac:dyDescent="0.2">
      <c r="A172" s="237" t="s">
        <v>76</v>
      </c>
      <c r="B172" s="226">
        <f>B8</f>
        <v>46204</v>
      </c>
      <c r="C172" s="241" t="str">
        <f>C8</f>
        <v>through</v>
      </c>
      <c r="D172" s="226">
        <f>D8</f>
        <v>46568</v>
      </c>
      <c r="E172" s="229"/>
      <c r="F172" s="229"/>
      <c r="G172" s="229"/>
      <c r="H172" s="240"/>
    </row>
    <row r="173" spans="1:9" x14ac:dyDescent="0.2">
      <c r="A173" s="4" t="s">
        <v>23</v>
      </c>
      <c r="B173" s="27" t="s">
        <v>211</v>
      </c>
      <c r="C173" s="19"/>
      <c r="H173" s="9"/>
    </row>
    <row r="174" spans="1:9" x14ac:dyDescent="0.2">
      <c r="B174" s="6"/>
      <c r="C174" s="15" t="s">
        <v>24</v>
      </c>
      <c r="D174" s="15"/>
      <c r="E174" s="218">
        <v>1</v>
      </c>
      <c r="F174" s="15" t="s">
        <v>32</v>
      </c>
      <c r="G174" s="219">
        <v>3</v>
      </c>
      <c r="H174" s="122" t="s">
        <v>8</v>
      </c>
    </row>
    <row r="175" spans="1:9" x14ac:dyDescent="0.2">
      <c r="A175" s="5"/>
      <c r="C175" s="22"/>
      <c r="D175" s="22"/>
      <c r="E175" s="13" t="s">
        <v>25</v>
      </c>
      <c r="F175" s="13"/>
      <c r="G175" s="220">
        <v>0</v>
      </c>
      <c r="H175" s="25">
        <f>((G174*(C178+C179)+G177+G178+C177)*E174)*G175</f>
        <v>0</v>
      </c>
    </row>
    <row r="176" spans="1:9" x14ac:dyDescent="0.2">
      <c r="A176" s="5"/>
      <c r="B176" s="22"/>
      <c r="C176" s="22"/>
      <c r="D176" s="22"/>
      <c r="E176" s="13" t="s">
        <v>26</v>
      </c>
      <c r="F176" s="13"/>
      <c r="G176" s="220">
        <v>0</v>
      </c>
      <c r="H176" s="25">
        <f>((G174*(C178+C179)+G177+G179+C177)*E174)*G176</f>
        <v>0</v>
      </c>
    </row>
    <row r="177" spans="1:8" x14ac:dyDescent="0.2">
      <c r="A177" s="5"/>
      <c r="B177" s="13" t="s">
        <v>27</v>
      </c>
      <c r="C177" s="44">
        <v>600</v>
      </c>
      <c r="D177" s="44"/>
      <c r="E177" s="13" t="s">
        <v>75</v>
      </c>
      <c r="F177" s="22"/>
      <c r="G177" s="42">
        <v>75</v>
      </c>
      <c r="H177" s="21">
        <f>H175+H176</f>
        <v>0</v>
      </c>
    </row>
    <row r="178" spans="1:8" x14ac:dyDescent="0.2">
      <c r="A178" s="5"/>
      <c r="B178" s="13" t="s">
        <v>28</v>
      </c>
      <c r="C178" s="43">
        <v>92</v>
      </c>
      <c r="D178" s="43"/>
      <c r="E178" s="13" t="s">
        <v>30</v>
      </c>
      <c r="F178" s="22"/>
      <c r="G178" s="43">
        <v>650</v>
      </c>
      <c r="H178" s="25"/>
    </row>
    <row r="179" spans="1:8" x14ac:dyDescent="0.2">
      <c r="A179" s="20"/>
      <c r="B179" s="78" t="s">
        <v>29</v>
      </c>
      <c r="C179" s="79">
        <v>225</v>
      </c>
      <c r="D179" s="79"/>
      <c r="E179" s="78" t="s">
        <v>31</v>
      </c>
      <c r="F179" s="29"/>
      <c r="G179" s="79">
        <v>550</v>
      </c>
      <c r="H179" s="123"/>
    </row>
    <row r="180" spans="1:8" x14ac:dyDescent="0.2">
      <c r="A180" s="5"/>
      <c r="B180" s="27" t="s">
        <v>205</v>
      </c>
      <c r="C180" s="43"/>
      <c r="D180" s="43"/>
      <c r="E180" s="13"/>
      <c r="F180" s="22"/>
      <c r="G180" s="43"/>
      <c r="H180" s="25"/>
    </row>
    <row r="181" spans="1:8" x14ac:dyDescent="0.2">
      <c r="A181" s="5"/>
      <c r="B181" s="22"/>
      <c r="C181" s="15" t="s">
        <v>24</v>
      </c>
      <c r="D181" s="15"/>
      <c r="E181" s="218">
        <v>0</v>
      </c>
      <c r="F181" s="15" t="s">
        <v>32</v>
      </c>
      <c r="G181" s="219">
        <v>5</v>
      </c>
      <c r="H181" s="25"/>
    </row>
    <row r="182" spans="1:8" x14ac:dyDescent="0.2">
      <c r="A182" s="5"/>
      <c r="B182" s="13" t="s">
        <v>27</v>
      </c>
      <c r="C182" s="44">
        <v>1200</v>
      </c>
      <c r="D182" s="22"/>
      <c r="E182" s="13" t="s">
        <v>25</v>
      </c>
      <c r="F182" s="13"/>
      <c r="G182" s="220">
        <v>0</v>
      </c>
      <c r="H182" s="25">
        <f>((G181*(C183)+G184+C184+C182)*E181)*G182</f>
        <v>0</v>
      </c>
    </row>
    <row r="183" spans="1:8" x14ac:dyDescent="0.2">
      <c r="A183" s="5"/>
      <c r="B183" s="13" t="s">
        <v>33</v>
      </c>
      <c r="C183" s="43">
        <v>295</v>
      </c>
      <c r="D183" s="44"/>
      <c r="E183" s="13" t="s">
        <v>26</v>
      </c>
      <c r="F183" s="13"/>
      <c r="G183" s="220">
        <v>0</v>
      </c>
      <c r="H183" s="25">
        <f>((G181*(C183)+C184+G185+C182)*E181)*G183</f>
        <v>0</v>
      </c>
    </row>
    <row r="184" spans="1:8" x14ac:dyDescent="0.2">
      <c r="A184" s="5"/>
      <c r="B184" s="13" t="s">
        <v>206</v>
      </c>
      <c r="C184" s="42">
        <v>75</v>
      </c>
      <c r="D184" s="43"/>
      <c r="E184" s="13" t="s">
        <v>30</v>
      </c>
      <c r="F184" s="22"/>
      <c r="G184" s="43">
        <v>650</v>
      </c>
      <c r="H184" s="21">
        <f>H182+H183</f>
        <v>0</v>
      </c>
    </row>
    <row r="185" spans="1:8" ht="13.5" thickBot="1" x14ac:dyDescent="0.25">
      <c r="A185" s="5"/>
      <c r="B185" s="22"/>
      <c r="C185" s="22"/>
      <c r="D185" s="22"/>
      <c r="E185" s="78" t="s">
        <v>31</v>
      </c>
      <c r="F185" s="29"/>
      <c r="G185" s="79">
        <v>550</v>
      </c>
      <c r="H185" s="25"/>
    </row>
    <row r="186" spans="1:8" ht="13.5" thickBot="1" x14ac:dyDescent="0.25">
      <c r="A186" s="233" t="s">
        <v>45</v>
      </c>
      <c r="B186" s="234"/>
      <c r="C186" s="234"/>
      <c r="D186" s="234"/>
      <c r="E186" s="245"/>
      <c r="F186" s="234"/>
      <c r="G186" s="234"/>
      <c r="H186" s="235">
        <f>H177+H184</f>
        <v>0</v>
      </c>
    </row>
    <row r="187" spans="1:8" x14ac:dyDescent="0.2">
      <c r="A187" s="4" t="s">
        <v>35</v>
      </c>
      <c r="C187" s="13" t="s">
        <v>73</v>
      </c>
      <c r="D187" s="13"/>
      <c r="F187" t="s">
        <v>36</v>
      </c>
      <c r="H187" s="9"/>
    </row>
    <row r="188" spans="1:8" x14ac:dyDescent="0.2">
      <c r="A188" s="5"/>
      <c r="B188" s="15">
        <v>1</v>
      </c>
      <c r="C188" s="213"/>
      <c r="D188" s="221"/>
      <c r="E188" s="221"/>
      <c r="F188" s="222">
        <v>0</v>
      </c>
      <c r="H188" s="9"/>
    </row>
    <row r="189" spans="1:8" x14ac:dyDescent="0.2">
      <c r="A189" s="5"/>
      <c r="B189" s="15">
        <v>2</v>
      </c>
      <c r="C189" s="221"/>
      <c r="D189" s="221"/>
      <c r="E189" s="221"/>
      <c r="F189" s="222"/>
      <c r="H189" s="9"/>
    </row>
    <row r="190" spans="1:8" ht="13.5" thickBot="1" x14ac:dyDescent="0.25">
      <c r="A190" s="5"/>
      <c r="B190" s="15">
        <v>3</v>
      </c>
      <c r="C190" s="221"/>
      <c r="D190" s="221"/>
      <c r="E190" s="221"/>
      <c r="F190" s="222"/>
      <c r="H190" s="9"/>
    </row>
    <row r="191" spans="1:8" ht="13.5" thickBot="1" x14ac:dyDescent="0.25">
      <c r="A191" s="233" t="s">
        <v>46</v>
      </c>
      <c r="B191" s="234"/>
      <c r="C191" s="234"/>
      <c r="D191" s="234"/>
      <c r="E191" s="234"/>
      <c r="F191" s="234"/>
      <c r="G191" s="234" t="s">
        <v>9</v>
      </c>
      <c r="H191" s="235">
        <f>SUM(F188:F190)</f>
        <v>0</v>
      </c>
    </row>
    <row r="192" spans="1:8" x14ac:dyDescent="0.2">
      <c r="A192" s="4" t="s">
        <v>37</v>
      </c>
      <c r="E192" t="s">
        <v>42</v>
      </c>
      <c r="F192" t="s">
        <v>36</v>
      </c>
      <c r="G192" s="6"/>
      <c r="H192" s="9"/>
    </row>
    <row r="193" spans="1:8" x14ac:dyDescent="0.2">
      <c r="A193" s="5"/>
      <c r="C193" s="13" t="s">
        <v>1195</v>
      </c>
      <c r="D193" s="13"/>
      <c r="E193" s="218">
        <v>0</v>
      </c>
      <c r="F193" s="223"/>
      <c r="G193" s="13"/>
      <c r="H193" s="70">
        <f>E193*F193</f>
        <v>0</v>
      </c>
    </row>
    <row r="194" spans="1:8" x14ac:dyDescent="0.2">
      <c r="A194" s="5"/>
      <c r="C194" s="13" t="s">
        <v>1192</v>
      </c>
      <c r="D194" s="13"/>
      <c r="E194" s="218">
        <v>0</v>
      </c>
      <c r="F194" s="223"/>
      <c r="G194" s="13"/>
      <c r="H194" s="70">
        <f t="shared" ref="H194:H196" si="5">E194*F194</f>
        <v>0</v>
      </c>
    </row>
    <row r="195" spans="1:8" x14ac:dyDescent="0.2">
      <c r="A195" s="5"/>
      <c r="C195" s="13" t="s">
        <v>1193</v>
      </c>
      <c r="D195" s="13"/>
      <c r="E195" s="218">
        <v>0</v>
      </c>
      <c r="F195" s="223"/>
      <c r="G195" s="13"/>
      <c r="H195" s="70">
        <f t="shared" si="5"/>
        <v>0</v>
      </c>
    </row>
    <row r="196" spans="1:8" x14ac:dyDescent="0.2">
      <c r="A196" s="5"/>
      <c r="C196" s="13" t="s">
        <v>1194</v>
      </c>
      <c r="D196" s="13"/>
      <c r="E196" s="218">
        <v>0</v>
      </c>
      <c r="F196" s="223"/>
      <c r="G196" s="13"/>
      <c r="H196" s="70">
        <f t="shared" si="5"/>
        <v>0</v>
      </c>
    </row>
    <row r="197" spans="1:8" x14ac:dyDescent="0.2">
      <c r="A197" s="5"/>
      <c r="B197" s="6" t="s">
        <v>38</v>
      </c>
      <c r="C197" s="6"/>
      <c r="D197" s="13"/>
      <c r="E197" s="106"/>
      <c r="F197" s="31"/>
      <c r="G197" s="6"/>
      <c r="H197" s="11"/>
    </row>
    <row r="198" spans="1:8" x14ac:dyDescent="0.2">
      <c r="A198" s="5"/>
      <c r="C198" s="6" t="s">
        <v>134</v>
      </c>
      <c r="D198" s="6"/>
      <c r="E198" s="213">
        <v>0</v>
      </c>
      <c r="F198" s="41">
        <v>3740.14</v>
      </c>
      <c r="G198" s="6"/>
      <c r="H198" s="11">
        <f>E198*F198</f>
        <v>0</v>
      </c>
    </row>
    <row r="199" spans="1:8" x14ac:dyDescent="0.2">
      <c r="A199" s="5"/>
      <c r="C199" s="6" t="s">
        <v>39</v>
      </c>
      <c r="D199" s="6"/>
      <c r="E199" s="213">
        <v>0</v>
      </c>
      <c r="F199" s="41">
        <v>2940</v>
      </c>
      <c r="G199" s="6"/>
      <c r="H199" s="11">
        <f>E199*F199</f>
        <v>0</v>
      </c>
    </row>
    <row r="200" spans="1:8" x14ac:dyDescent="0.2">
      <c r="A200" s="5"/>
      <c r="C200" s="6" t="s">
        <v>260</v>
      </c>
      <c r="D200" s="6"/>
      <c r="E200" s="213">
        <v>0</v>
      </c>
      <c r="F200" s="41">
        <v>990</v>
      </c>
      <c r="G200" s="6"/>
      <c r="H200" s="11">
        <f>E200*F200</f>
        <v>0</v>
      </c>
    </row>
    <row r="201" spans="1:8" x14ac:dyDescent="0.2">
      <c r="A201" s="5"/>
      <c r="C201" s="6" t="s">
        <v>40</v>
      </c>
      <c r="D201" s="6"/>
      <c r="E201" s="213">
        <v>0</v>
      </c>
      <c r="F201" s="41">
        <v>105</v>
      </c>
      <c r="G201" s="213">
        <v>12</v>
      </c>
      <c r="H201" s="11">
        <f>E201*F201*G201</f>
        <v>0</v>
      </c>
    </row>
    <row r="202" spans="1:8" x14ac:dyDescent="0.2">
      <c r="A202" s="5"/>
      <c r="C202" s="6" t="s">
        <v>41</v>
      </c>
      <c r="D202" s="6"/>
      <c r="E202" s="213">
        <v>0</v>
      </c>
      <c r="F202" s="41">
        <v>5</v>
      </c>
      <c r="G202" s="213">
        <v>12</v>
      </c>
      <c r="H202" s="11">
        <f>E202*F202*G202</f>
        <v>0</v>
      </c>
    </row>
    <row r="203" spans="1:8" x14ac:dyDescent="0.2">
      <c r="A203" s="5"/>
      <c r="C203" s="6" t="s">
        <v>259</v>
      </c>
      <c r="D203" s="6"/>
      <c r="E203" s="213">
        <v>0</v>
      </c>
      <c r="F203" s="41">
        <v>10</v>
      </c>
      <c r="G203" s="213">
        <v>12</v>
      </c>
      <c r="H203" s="11">
        <f>E203*F203*G203</f>
        <v>0</v>
      </c>
    </row>
    <row r="204" spans="1:8" x14ac:dyDescent="0.2">
      <c r="A204" s="5"/>
      <c r="B204" s="6" t="s">
        <v>1141</v>
      </c>
      <c r="C204" s="6"/>
      <c r="D204" s="6"/>
      <c r="E204" s="213">
        <v>0</v>
      </c>
      <c r="F204" s="41">
        <v>90.4</v>
      </c>
      <c r="G204" s="213">
        <v>12</v>
      </c>
      <c r="H204" s="11">
        <f>E204*F204*G204</f>
        <v>0</v>
      </c>
    </row>
    <row r="205" spans="1:8" x14ac:dyDescent="0.2">
      <c r="A205" s="5"/>
      <c r="B205" s="6" t="s">
        <v>1142</v>
      </c>
      <c r="C205" s="6"/>
      <c r="D205" s="6"/>
      <c r="E205" s="6"/>
      <c r="F205" s="31"/>
      <c r="G205" s="6"/>
      <c r="H205" s="11"/>
    </row>
    <row r="206" spans="1:8" x14ac:dyDescent="0.2">
      <c r="A206" s="5"/>
      <c r="C206" s="6" t="s">
        <v>209</v>
      </c>
      <c r="D206" s="6"/>
      <c r="E206" s="213">
        <v>0</v>
      </c>
      <c r="F206" s="41">
        <v>1500</v>
      </c>
      <c r="G206" s="213">
        <v>12</v>
      </c>
      <c r="H206" s="11">
        <f>E206*F206*G206</f>
        <v>0</v>
      </c>
    </row>
    <row r="207" spans="1:8" x14ac:dyDescent="0.2">
      <c r="A207" s="5"/>
      <c r="C207" s="6" t="s">
        <v>210</v>
      </c>
      <c r="D207" s="6"/>
      <c r="E207" s="213">
        <v>0</v>
      </c>
      <c r="F207" s="41">
        <v>1600</v>
      </c>
      <c r="G207" s="213">
        <v>12</v>
      </c>
      <c r="H207" s="11">
        <f>E207*F207*G207</f>
        <v>0</v>
      </c>
    </row>
    <row r="208" spans="1:8" x14ac:dyDescent="0.2">
      <c r="A208" s="5"/>
      <c r="B208" s="6" t="s">
        <v>649</v>
      </c>
      <c r="C208" s="6"/>
      <c r="D208" s="6"/>
      <c r="E208" s="6"/>
      <c r="F208" s="195" t="s">
        <v>650</v>
      </c>
      <c r="G208" s="246">
        <f>IF(OR(D10="Non-Federal"),H149*0.0205,H149*0)</f>
        <v>0</v>
      </c>
      <c r="H208" s="11">
        <f>G208</f>
        <v>0</v>
      </c>
    </row>
    <row r="209" spans="1:11" x14ac:dyDescent="0.2">
      <c r="A209" s="5"/>
      <c r="B209" s="6" t="s">
        <v>1196</v>
      </c>
      <c r="C209" s="6"/>
      <c r="D209" s="6"/>
      <c r="E209" s="430"/>
      <c r="F209" s="431"/>
      <c r="G209" s="222">
        <v>0</v>
      </c>
      <c r="H209" s="11">
        <f>G209</f>
        <v>0</v>
      </c>
      <c r="K209" s="12"/>
    </row>
    <row r="210" spans="1:11" x14ac:dyDescent="0.2">
      <c r="A210" s="5"/>
      <c r="B210" s="6" t="s">
        <v>236</v>
      </c>
      <c r="C210" s="6"/>
      <c r="D210" s="197"/>
      <c r="E210" s="6"/>
      <c r="F210" s="195" t="s">
        <v>650</v>
      </c>
      <c r="G210" s="213">
        <v>0</v>
      </c>
      <c r="H210" s="11">
        <f>G210</f>
        <v>0</v>
      </c>
    </row>
    <row r="211" spans="1:11" x14ac:dyDescent="0.2">
      <c r="A211" s="5"/>
      <c r="B211" t="s">
        <v>261</v>
      </c>
      <c r="C211" s="6"/>
      <c r="D211" s="6"/>
      <c r="E211" s="6"/>
      <c r="F211" s="195" t="s">
        <v>650</v>
      </c>
      <c r="G211" s="213">
        <v>0</v>
      </c>
      <c r="H211" s="11">
        <f>G211</f>
        <v>0</v>
      </c>
    </row>
    <row r="212" spans="1:11" x14ac:dyDescent="0.2">
      <c r="A212" s="249" t="s">
        <v>424</v>
      </c>
      <c r="B212" s="6" t="s">
        <v>43</v>
      </c>
      <c r="C212" s="6"/>
      <c r="D212" s="6"/>
      <c r="E212" s="196" t="s">
        <v>650</v>
      </c>
      <c r="F212" s="247">
        <v>0</v>
      </c>
      <c r="G212" s="248">
        <v>12</v>
      </c>
      <c r="H212" s="11">
        <f>F212*G212</f>
        <v>0</v>
      </c>
    </row>
    <row r="213" spans="1:11" ht="13.5" thickBot="1" x14ac:dyDescent="0.25">
      <c r="A213" s="249" t="s">
        <v>418</v>
      </c>
      <c r="B213" s="6" t="s">
        <v>44</v>
      </c>
      <c r="C213" s="6"/>
      <c r="D213" s="6"/>
      <c r="E213" s="6"/>
      <c r="F213" s="6"/>
      <c r="G213" s="6"/>
      <c r="H213" s="11"/>
    </row>
    <row r="214" spans="1:11" ht="13.5" thickBot="1" x14ac:dyDescent="0.25">
      <c r="A214" s="233" t="s">
        <v>47</v>
      </c>
      <c r="B214" s="256"/>
      <c r="C214" s="256"/>
      <c r="D214" s="256"/>
      <c r="E214" s="256"/>
      <c r="F214" s="256"/>
      <c r="G214" s="256"/>
      <c r="H214" s="296">
        <f>SUM(H193:H213)</f>
        <v>0</v>
      </c>
    </row>
    <row r="215" spans="1:11" x14ac:dyDescent="0.2">
      <c r="A215" s="4" t="s">
        <v>49</v>
      </c>
      <c r="B215" s="471" t="s">
        <v>1197</v>
      </c>
      <c r="C215" s="256"/>
      <c r="D215" s="256"/>
      <c r="E215" s="256"/>
      <c r="F215" s="256"/>
      <c r="G215" s="256"/>
      <c r="H215" s="256"/>
    </row>
    <row r="216" spans="1:11" x14ac:dyDescent="0.2">
      <c r="A216" s="4"/>
      <c r="B216" s="330" t="s">
        <v>1187</v>
      </c>
      <c r="C216" s="6"/>
      <c r="D216" s="6"/>
      <c r="E216" s="6"/>
      <c r="F216" s="214"/>
      <c r="G216" s="440">
        <f>IF(AND(F216&gt;25000,B216="no"),F216-25000,IF(B216="Yes",F216,0))</f>
        <v>0</v>
      </c>
      <c r="H216" s="10"/>
    </row>
    <row r="217" spans="1:11" x14ac:dyDescent="0.2">
      <c r="A217" s="4"/>
      <c r="B217" s="330" t="s">
        <v>1187</v>
      </c>
      <c r="C217" s="6"/>
      <c r="D217" s="6"/>
      <c r="E217" s="6"/>
      <c r="F217" s="214"/>
      <c r="G217" s="440">
        <f>IF(AND(F217&gt;25000,B217="no"),F217-25000,IF(B217="Yes",F217,0))</f>
        <v>0</v>
      </c>
      <c r="H217" s="10"/>
    </row>
    <row r="218" spans="1:11" x14ac:dyDescent="0.2">
      <c r="A218" s="4"/>
      <c r="B218" s="330" t="s">
        <v>1189</v>
      </c>
      <c r="C218" s="6"/>
      <c r="D218" s="6"/>
      <c r="E218" s="6"/>
      <c r="F218" s="214"/>
      <c r="G218" s="440">
        <f>IF(AND(F218&gt;25000,B218="no"),F218-25000,IF(B218="Yes",F218,0))</f>
        <v>0</v>
      </c>
      <c r="H218" s="10"/>
    </row>
    <row r="219" spans="1:11" x14ac:dyDescent="0.2">
      <c r="A219" s="4"/>
      <c r="B219" s="330" t="s">
        <v>1189</v>
      </c>
      <c r="C219" s="205"/>
      <c r="D219" s="6"/>
      <c r="E219" s="6"/>
      <c r="F219" s="214"/>
      <c r="G219" s="440">
        <f>IF(AND(F219&gt;25000,B219="no"),F219-25000,IF(B219="Yes",F219,0))</f>
        <v>0</v>
      </c>
      <c r="H219" s="10"/>
      <c r="K219" s="12"/>
    </row>
    <row r="220" spans="1:11" ht="13.5" thickBot="1" x14ac:dyDescent="0.25">
      <c r="A220" s="4"/>
      <c r="B220" s="330" t="s">
        <v>1189</v>
      </c>
      <c r="C220" s="6"/>
      <c r="D220" s="6"/>
      <c r="E220" s="6"/>
      <c r="F220" s="214"/>
      <c r="G220" s="440">
        <f>IF(AND(F220&gt;25000,B220="no"),F220-25000,IF(B220="Yes",F220,0))</f>
        <v>0</v>
      </c>
      <c r="H220" s="10"/>
      <c r="K220" s="12"/>
    </row>
    <row r="221" spans="1:11" ht="13.5" thickBot="1" x14ac:dyDescent="0.25">
      <c r="A221" s="292" t="s">
        <v>50</v>
      </c>
      <c r="B221" s="234"/>
      <c r="C221" s="234"/>
      <c r="D221" s="234"/>
      <c r="E221" s="234"/>
      <c r="F221" s="234"/>
      <c r="G221" s="234"/>
      <c r="H221" s="293">
        <f>SUM(F216:F220)</f>
        <v>0</v>
      </c>
    </row>
    <row r="222" spans="1:11" x14ac:dyDescent="0.2">
      <c r="A222" s="237" t="s">
        <v>48</v>
      </c>
      <c r="B222" s="470"/>
      <c r="C222" s="225"/>
      <c r="D222" s="225"/>
      <c r="E222" s="225"/>
      <c r="F222" s="225"/>
      <c r="G222" s="225"/>
      <c r="H222" s="259">
        <f ca="1">H221+H214+H191+H186+H169</f>
        <v>0</v>
      </c>
      <c r="J222" s="12"/>
    </row>
    <row r="223" spans="1:11" x14ac:dyDescent="0.2">
      <c r="A223" s="237" t="s">
        <v>154</v>
      </c>
      <c r="B223" s="225"/>
      <c r="C223" s="260" t="s">
        <v>807</v>
      </c>
      <c r="D223" s="225"/>
      <c r="E223" s="225"/>
      <c r="F223" s="261">
        <f ca="1">H222-(H202+H191)-SUM(H158:H161)-SUM(H193:H196)-SUM(G216:G220)</f>
        <v>0</v>
      </c>
      <c r="G223" s="262"/>
      <c r="H223" s="263"/>
    </row>
    <row r="224" spans="1:11" x14ac:dyDescent="0.2">
      <c r="A224" s="264" t="s">
        <v>808</v>
      </c>
      <c r="B224" s="265"/>
      <c r="C224" s="266">
        <f ca="1">F223*E224</f>
        <v>0</v>
      </c>
      <c r="D224" s="267">
        <f>LOOKUP($H$6,Grid!$E$40:$E$129,Grid!$I$40:$I$129)</f>
        <v>0.60499999999999998</v>
      </c>
      <c r="E224" s="268">
        <f>LOOKUP($H$6,Grid!$E$40:$E$129,Grid!$G$40:$G$129)</f>
        <v>1</v>
      </c>
      <c r="F224" s="269">
        <f ca="1">ROUND($F$223*$D$224*$E$224,0)</f>
        <v>0</v>
      </c>
      <c r="G224" s="270">
        <f ca="1">F224+F225</f>
        <v>0</v>
      </c>
      <c r="H224" s="271" t="s">
        <v>806</v>
      </c>
    </row>
    <row r="225" spans="1:8" x14ac:dyDescent="0.2">
      <c r="A225" s="264"/>
      <c r="B225" s="265"/>
      <c r="C225" s="266">
        <f ca="1">F223*E225</f>
        <v>0</v>
      </c>
      <c r="D225" s="267">
        <f>LOOKUP($H$6,Grid!$E$40:$E$129,Grid!$J$40:$J$129)</f>
        <v>0.60499999999999998</v>
      </c>
      <c r="E225" s="268">
        <f>LOOKUP($H$6,Grid!$E$40:$E$129,Grid!$H$40:$H$129)</f>
        <v>0</v>
      </c>
      <c r="F225" s="269">
        <f ca="1">$F$223*$D$225*$E$225</f>
        <v>0</v>
      </c>
      <c r="G225" s="272"/>
      <c r="H225" s="273"/>
    </row>
    <row r="226" spans="1:8" x14ac:dyDescent="0.2">
      <c r="A226" s="274" t="s">
        <v>809</v>
      </c>
      <c r="B226" s="275"/>
      <c r="C226" s="266">
        <f ca="1">H222*E226</f>
        <v>0</v>
      </c>
      <c r="D226" s="276">
        <f>LOOKUP($H$6,Grid!$E$40:$E$129,Grid!$I$40:$I$129)</f>
        <v>0.60499999999999998</v>
      </c>
      <c r="E226" s="277">
        <f>LOOKUP($H$6,Grid!$E$40:$E$129,Grid!$G$40:$G$129)</f>
        <v>1</v>
      </c>
      <c r="F226" s="278">
        <f ca="1">ROUND($H$222*$D$226*$E$226,0)</f>
        <v>0</v>
      </c>
      <c r="G226" s="279">
        <f ca="1">F226+F227</f>
        <v>0</v>
      </c>
      <c r="H226" s="280" t="s">
        <v>806</v>
      </c>
    </row>
    <row r="227" spans="1:8" x14ac:dyDescent="0.2">
      <c r="A227" s="274"/>
      <c r="B227" s="275"/>
      <c r="C227" s="266">
        <f ca="1">H222*E227</f>
        <v>0</v>
      </c>
      <c r="D227" s="276">
        <f>LOOKUP($H$6,Grid!$E$40:$E$129,Grid!$J$40:$J$129)</f>
        <v>0.60499999999999998</v>
      </c>
      <c r="E227" s="277">
        <f>LOOKUP($H$6,Grid!$E$40:$E$129,Grid!$H$40:$H$129)</f>
        <v>0</v>
      </c>
      <c r="F227" s="278">
        <f ca="1">ROUND($H$222*$D$227*$E$227,0)</f>
        <v>0</v>
      </c>
      <c r="G227" s="275"/>
      <c r="H227" s="281"/>
    </row>
    <row r="228" spans="1:8" x14ac:dyDescent="0.2">
      <c r="A228" s="237" t="s">
        <v>804</v>
      </c>
      <c r="B228" s="225"/>
      <c r="C228" s="225"/>
      <c r="D228" s="282"/>
      <c r="E228" s="283"/>
      <c r="F228" s="284"/>
      <c r="G228" s="285" t="str">
        <f>IF($C$9=Reference!$A$5,Reference!$E$5,IF($C$9=Reference!$A$6,Reference!$E$6,IF($C$9=Reference!$A$7,Reference!$E$7,"")))</f>
        <v/>
      </c>
      <c r="H228" s="259">
        <f ca="1">IF((AND($C$10="Modified Total Direct Costs",$C$9=Reference!$A$5)),$F$223*Reference!$E$5,IF((AND($C$10="Modified Total Direct Costs",$C$9=Reference!$A$6)),$F$223*Reference!$E$6,IF((AND($C$10="Modified Total Direct Costs",$C$9=Reference!$A$7)),$F$223*Reference!$E$7,IF((AND($C$10="Modified Total Direct Costs",$C$9=Reference!$A$2)),$G$224,IF((AND($C$10="Modified Total Direct Costs",$C$9=Reference!$A$3)),$G$224,IF((AND($C$10="Modified Total Direct Costs",$C$9=Reference!$A$4)),$G$224,IF((AND($C$10="Total Direct Costs",$C$9=Reference!$A$2)),$G$226,IF((AND($C$10="Total Direct Costs",$C$9=Reference!$A$3)),$G$226,IF((AND($C$10="Total Direct Costs",$C$9=Reference!$A$4)),$G$226,IF((AND($C$10="Total Direct Costs",$C$9=Reference!$A$5)),$H$222*Reference!$E$5,IF((AND($C$10="Total Direct Costs",$C$9=Reference!$A$6)),$H$222*Reference!$E$6,IF((AND($C$10="Total Direct Costs",$C$9=Reference!$A$7)),$H$222*Reference!$E$7,IF((AND($C$10="Total Costs",$C$9=Reference!$A$7)),($H$222/(1-Reference!$E$7)*Reference!$E$7))))))))))))))</f>
        <v>0</v>
      </c>
    </row>
    <row r="229" spans="1:8" x14ac:dyDescent="0.2">
      <c r="A229" s="237"/>
      <c r="B229" s="225"/>
      <c r="C229" s="225"/>
      <c r="D229" s="286"/>
      <c r="E229" s="287"/>
      <c r="F229" s="289" t="s">
        <v>515</v>
      </c>
      <c r="G229" s="290">
        <f>IF(C9=Reference!A2,Reference!E2,IF(C9=Reference!A5,Reference!E5,IF(C9=Reference!A6,Reference!E6,IF(C9=Reference!A7,Reference!E7,IF(C9=Reference!A3,Reference!E3,IF(C9=Reference!A4,Reference!E4))))))</f>
        <v>0.60499999999999998</v>
      </c>
      <c r="H229" s="259"/>
    </row>
    <row r="230" spans="1:8" ht="13.5" thickBot="1" x14ac:dyDescent="0.25">
      <c r="A230" s="288"/>
      <c r="B230" s="225"/>
      <c r="C230" s="225"/>
      <c r="D230" s="225"/>
      <c r="E230" s="225" t="s">
        <v>51</v>
      </c>
      <c r="F230" s="225"/>
      <c r="G230" s="225"/>
      <c r="H230" s="259">
        <f ca="1">H222+H228</f>
        <v>0</v>
      </c>
    </row>
    <row r="231" spans="1:8" ht="13.5" thickBot="1" x14ac:dyDescent="0.25">
      <c r="A231" s="250" t="s">
        <v>1198</v>
      </c>
      <c r="B231" s="251"/>
      <c r="C231" s="252"/>
      <c r="D231" s="252"/>
      <c r="E231" s="252"/>
      <c r="F231" s="252"/>
      <c r="G231" s="252"/>
      <c r="H231" s="253"/>
    </row>
    <row r="235" spans="1:8" x14ac:dyDescent="0.2">
      <c r="G235" s="493"/>
    </row>
    <row r="239" spans="1:8" x14ac:dyDescent="0.2">
      <c r="H239" s="210"/>
    </row>
  </sheetData>
  <sheetProtection selectLockedCells="1"/>
  <mergeCells count="1">
    <mergeCell ref="G10:H10"/>
  </mergeCells>
  <phoneticPr fontId="4" type="noConversion"/>
  <dataValidations count="9">
    <dataValidation type="list" allowBlank="1" showInputMessage="1" showErrorMessage="1" sqref="C9" xr:uid="{00000000-0002-0000-0000-000000000000}">
      <formula1>Research_Type</formula1>
    </dataValidation>
    <dataValidation type="list" allowBlank="1" showInputMessage="1" showErrorMessage="1" sqref="C86 C83" xr:uid="{00000000-0002-0000-0000-000001000000}">
      <formula1>Other_Personnel</formula1>
    </dataValidation>
    <dataValidation type="list" allowBlank="1" showInputMessage="1" showErrorMessage="1" sqref="C10" xr:uid="{00000000-0002-0000-0000-000002000000}">
      <formula1>"Modified Total Direct Costs, Total Direct Costs,Total Costs"</formula1>
    </dataValidation>
    <dataValidation type="list" allowBlank="1" showInputMessage="1" showErrorMessage="1" sqref="H8" xr:uid="{00000000-0002-0000-0000-000003000000}">
      <formula1>"1,2,3,4,5"</formula1>
    </dataValidation>
    <dataValidation type="list" errorStyle="information" allowBlank="1" showInputMessage="1" showErrorMessage="1" error="To override the pick list and manually enter a name not on it, just select OK to this informational message." sqref="C12:C22" xr:uid="{00000000-0002-0000-0000-000004000000}">
      <formula1>Name</formula1>
    </dataValidation>
    <dataValidation type="list" allowBlank="1" showInputMessage="1" showErrorMessage="1" sqref="D10" xr:uid="{00000000-0002-0000-0000-000005000000}">
      <formula1>"Federal,Non-Federal"</formula1>
    </dataValidation>
    <dataValidation type="list" allowBlank="1" showInputMessage="1" showErrorMessage="1" sqref="C26 C34 C42 C50 C58 C66 C74" xr:uid="{D293318F-084B-408C-944A-59B4F251F854}">
      <formula1>Step</formula1>
    </dataValidation>
    <dataValidation type="list" allowBlank="1" showInputMessage="1" showErrorMessage="1" sqref="B12:B22" xr:uid="{CCA587EC-9E14-4EDF-B9CC-30F32ABAF4EF}">
      <formula1>"Academic,Calendar,Recall"</formula1>
    </dataValidation>
    <dataValidation type="list" allowBlank="1" showInputMessage="1" showErrorMessage="1" sqref="D12:D22 B216:B220" xr:uid="{13DE64ED-9829-46FB-AF42-AB8F6ED6B189}">
      <formula1>"Yes,No"</formula1>
    </dataValidation>
  </dataValidations>
  <pageMargins left="0.7" right="0.7" top="0.75" bottom="0.75" header="0.3" footer="0.3"/>
  <pageSetup scale="65" orientation="portrait" r:id="rId1"/>
  <headerFooter alignWithMargins="0"/>
  <rowBreaks count="2" manualBreakCount="2">
    <brk id="72" max="7" man="1"/>
    <brk id="149" max="16383" man="1"/>
  </rowBreaks>
  <ignoredErrors>
    <ignoredError sqref="F227 F225 F226 F224 D224:E224 D227:E227" unlockedFormula="1"/>
    <ignoredError sqref="D225:E225 D226:E226" formula="1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079E60-889A-4B0F-B0F7-CDFF3983E1D1}">
          <x14:formula1>
            <xm:f>Sheet1!$C$9:$C$14</xm:f>
          </x14:formula1>
          <xm:sqref>D101 D105 D109 D113 D127 D130 D133 D136 D139 D142 D145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5ED5-DCA4-41D4-8AE5-7BA33A807EC5}">
  <sheetPr>
    <tabColor indexed="29"/>
  </sheetPr>
  <dimension ref="A1:AB196"/>
  <sheetViews>
    <sheetView topLeftCell="D1" workbookViewId="0">
      <selection activeCell="AB109" sqref="AB109"/>
    </sheetView>
  </sheetViews>
  <sheetFormatPr defaultRowHeight="12.75" x14ac:dyDescent="0.2"/>
  <cols>
    <col min="4" max="4" width="14.42578125" customWidth="1"/>
    <col min="16" max="16" width="9.5703125" bestFit="1" customWidth="1"/>
    <col min="20" max="20" width="9.140625" style="69"/>
    <col min="24" max="24" width="9.140625" style="69"/>
  </cols>
  <sheetData>
    <row r="1" spans="1:28" x14ac:dyDescent="0.2">
      <c r="A1" t="s">
        <v>1144</v>
      </c>
      <c r="C1" t="s">
        <v>1145</v>
      </c>
      <c r="J1" t="s">
        <v>145</v>
      </c>
    </row>
    <row r="2" spans="1:28" x14ac:dyDescent="0.2">
      <c r="C2" t="s">
        <v>151</v>
      </c>
      <c r="J2" t="s">
        <v>1146</v>
      </c>
    </row>
    <row r="3" spans="1:28" x14ac:dyDescent="0.2">
      <c r="C3" t="s">
        <v>204</v>
      </c>
      <c r="J3" t="s">
        <v>1148</v>
      </c>
      <c r="L3" t="s">
        <v>1149</v>
      </c>
    </row>
    <row r="4" spans="1:28" x14ac:dyDescent="0.2">
      <c r="C4" t="s">
        <v>1077</v>
      </c>
      <c r="J4" t="s">
        <v>142</v>
      </c>
      <c r="L4" t="s">
        <v>1151</v>
      </c>
    </row>
    <row r="5" spans="1:28" x14ac:dyDescent="0.2">
      <c r="C5" t="s">
        <v>139</v>
      </c>
      <c r="J5" t="s">
        <v>1154</v>
      </c>
      <c r="K5" t="s">
        <v>1152</v>
      </c>
      <c r="L5" t="s">
        <v>1153</v>
      </c>
      <c r="M5" t="s">
        <v>74</v>
      </c>
      <c r="O5" t="s">
        <v>547</v>
      </c>
      <c r="P5" t="s">
        <v>1155</v>
      </c>
      <c r="R5" s="6" t="s">
        <v>1181</v>
      </c>
    </row>
    <row r="6" spans="1:28" x14ac:dyDescent="0.2">
      <c r="C6" t="s">
        <v>12</v>
      </c>
      <c r="E6" t="s">
        <v>1147</v>
      </c>
      <c r="J6" t="s">
        <v>147</v>
      </c>
    </row>
    <row r="7" spans="1:28" x14ac:dyDescent="0.2">
      <c r="E7" t="s">
        <v>1150</v>
      </c>
    </row>
    <row r="8" spans="1:28" x14ac:dyDescent="0.2">
      <c r="C8" s="6" t="s">
        <v>110</v>
      </c>
      <c r="D8" t="s">
        <v>1152</v>
      </c>
      <c r="E8" t="s">
        <v>1153</v>
      </c>
      <c r="F8" t="s">
        <v>74</v>
      </c>
    </row>
    <row r="9" spans="1:28" x14ac:dyDescent="0.2">
      <c r="C9">
        <v>0</v>
      </c>
      <c r="D9" s="432">
        <v>0</v>
      </c>
      <c r="E9" s="108">
        <v>45017</v>
      </c>
      <c r="F9">
        <v>60000</v>
      </c>
      <c r="N9">
        <v>1</v>
      </c>
      <c r="V9">
        <v>2</v>
      </c>
      <c r="Z9">
        <v>3</v>
      </c>
    </row>
    <row r="10" spans="1:28" ht="15" x14ac:dyDescent="0.25">
      <c r="C10">
        <v>1</v>
      </c>
      <c r="D10" s="433">
        <v>1</v>
      </c>
      <c r="E10" s="434">
        <v>45017</v>
      </c>
      <c r="F10">
        <v>62220</v>
      </c>
      <c r="J10" s="69"/>
      <c r="P10" s="69"/>
    </row>
    <row r="11" spans="1:28" x14ac:dyDescent="0.2">
      <c r="C11">
        <v>2</v>
      </c>
      <c r="D11" s="432">
        <v>2</v>
      </c>
      <c r="E11" s="108">
        <v>45017</v>
      </c>
      <c r="F11">
        <v>64522</v>
      </c>
      <c r="H11" s="6"/>
      <c r="I11" s="6"/>
      <c r="J11" s="69"/>
      <c r="N11" s="6" t="s">
        <v>110</v>
      </c>
      <c r="O11" s="6" t="s">
        <v>1063</v>
      </c>
      <c r="P11" s="69">
        <f>Year1!G118</f>
        <v>6500</v>
      </c>
      <c r="R11" t="s">
        <v>110</v>
      </c>
      <c r="S11" s="6" t="s">
        <v>1166</v>
      </c>
      <c r="T11" s="69">
        <f>Year1!G101</f>
        <v>0</v>
      </c>
      <c r="V11" t="s">
        <v>110</v>
      </c>
      <c r="W11" t="s">
        <v>1063</v>
      </c>
      <c r="X11" s="69">
        <f>Year1!G121</f>
        <v>7000</v>
      </c>
      <c r="Z11" t="s">
        <v>110</v>
      </c>
      <c r="AA11" t="s">
        <v>1063</v>
      </c>
      <c r="AB11" s="69">
        <f>Year1!G124</f>
        <v>7200</v>
      </c>
    </row>
    <row r="12" spans="1:28" x14ac:dyDescent="0.2">
      <c r="C12">
        <v>3</v>
      </c>
      <c r="D12" s="432">
        <v>3</v>
      </c>
      <c r="E12" s="108">
        <v>45017</v>
      </c>
      <c r="F12">
        <v>66909</v>
      </c>
      <c r="I12" s="6"/>
      <c r="J12" s="69"/>
      <c r="L12" s="108">
        <v>44470</v>
      </c>
      <c r="M12" s="12">
        <v>60000</v>
      </c>
      <c r="N12">
        <v>0</v>
      </c>
      <c r="O12" s="6" t="s">
        <v>1063</v>
      </c>
      <c r="P12" s="69">
        <f>M12/12</f>
        <v>5000</v>
      </c>
      <c r="R12" t="s">
        <v>110</v>
      </c>
      <c r="S12" s="6" t="s">
        <v>1180</v>
      </c>
      <c r="T12" s="69">
        <f>Year1!G101</f>
        <v>0</v>
      </c>
      <c r="V12">
        <v>0</v>
      </c>
      <c r="W12" t="s">
        <v>1063</v>
      </c>
      <c r="X12" s="69">
        <v>5000</v>
      </c>
      <c r="Z12">
        <v>0</v>
      </c>
      <c r="AA12" t="s">
        <v>1063</v>
      </c>
      <c r="AB12" s="69">
        <v>5000</v>
      </c>
    </row>
    <row r="13" spans="1:28" x14ac:dyDescent="0.2">
      <c r="C13">
        <v>4</v>
      </c>
      <c r="D13" s="432">
        <v>4</v>
      </c>
      <c r="E13" s="108">
        <v>45017</v>
      </c>
      <c r="F13">
        <v>69385</v>
      </c>
      <c r="H13" s="6"/>
      <c r="I13" s="6"/>
      <c r="J13" s="69"/>
      <c r="L13" s="108">
        <v>44470</v>
      </c>
      <c r="M13" s="12">
        <v>62220</v>
      </c>
      <c r="N13">
        <v>1</v>
      </c>
      <c r="O13" s="6" t="s">
        <v>1063</v>
      </c>
      <c r="P13" s="69">
        <f t="shared" ref="P13:P17" si="0">M13/12</f>
        <v>5185</v>
      </c>
      <c r="R13">
        <v>0</v>
      </c>
      <c r="S13" s="6" t="s">
        <v>1166</v>
      </c>
      <c r="T13" s="69">
        <v>5000</v>
      </c>
      <c r="V13">
        <v>1</v>
      </c>
      <c r="W13" t="s">
        <v>1063</v>
      </c>
      <c r="X13" s="69">
        <v>5185</v>
      </c>
      <c r="Z13">
        <v>1</v>
      </c>
      <c r="AA13" t="s">
        <v>1063</v>
      </c>
      <c r="AB13" s="69">
        <v>5185</v>
      </c>
    </row>
    <row r="14" spans="1:28" x14ac:dyDescent="0.2">
      <c r="C14">
        <v>5</v>
      </c>
      <c r="D14" s="432">
        <v>5</v>
      </c>
      <c r="E14" s="108">
        <v>45017</v>
      </c>
      <c r="F14">
        <v>71952</v>
      </c>
      <c r="I14" s="6"/>
      <c r="J14" s="69"/>
      <c r="L14" s="108">
        <v>44470</v>
      </c>
      <c r="M14" s="12">
        <v>64522</v>
      </c>
      <c r="N14">
        <v>2</v>
      </c>
      <c r="O14" s="6" t="s">
        <v>1063</v>
      </c>
      <c r="P14" s="69">
        <f t="shared" si="0"/>
        <v>5376.833333333333</v>
      </c>
      <c r="R14">
        <v>0</v>
      </c>
      <c r="S14" s="6" t="s">
        <v>1180</v>
      </c>
      <c r="T14" s="69">
        <v>5000</v>
      </c>
      <c r="V14">
        <v>2</v>
      </c>
      <c r="W14" t="s">
        <v>1063</v>
      </c>
      <c r="X14" s="69">
        <v>5376.833333333333</v>
      </c>
      <c r="Z14">
        <v>2</v>
      </c>
      <c r="AA14" t="s">
        <v>1063</v>
      </c>
      <c r="AB14" s="69">
        <v>5376.833333333333</v>
      </c>
    </row>
    <row r="15" spans="1:28" x14ac:dyDescent="0.2">
      <c r="D15" s="432">
        <v>0</v>
      </c>
      <c r="E15" s="108">
        <v>45383</v>
      </c>
      <c r="F15" s="12">
        <v>64500</v>
      </c>
      <c r="G15" s="12"/>
      <c r="H15" s="6"/>
      <c r="I15" s="6"/>
      <c r="J15" s="69"/>
      <c r="L15" s="108">
        <v>44470</v>
      </c>
      <c r="M15" s="12">
        <v>66909</v>
      </c>
      <c r="N15">
        <v>3</v>
      </c>
      <c r="O15" s="6" t="s">
        <v>1063</v>
      </c>
      <c r="P15" s="69">
        <f t="shared" si="0"/>
        <v>5575.75</v>
      </c>
      <c r="R15">
        <v>1</v>
      </c>
      <c r="S15" s="6" t="s">
        <v>1166</v>
      </c>
      <c r="T15" s="69">
        <v>5185</v>
      </c>
      <c r="V15">
        <v>3</v>
      </c>
      <c r="W15" t="s">
        <v>1063</v>
      </c>
      <c r="X15" s="69">
        <v>5575.75</v>
      </c>
      <c r="Z15">
        <v>3</v>
      </c>
      <c r="AA15" t="s">
        <v>1063</v>
      </c>
      <c r="AB15" s="69">
        <v>5575.75</v>
      </c>
    </row>
    <row r="16" spans="1:28" ht="15" x14ac:dyDescent="0.25">
      <c r="D16" s="433">
        <v>1</v>
      </c>
      <c r="E16" s="108">
        <v>45383</v>
      </c>
      <c r="F16" s="12">
        <v>66886.5</v>
      </c>
      <c r="G16" s="12"/>
      <c r="I16" s="6"/>
      <c r="J16" s="69"/>
      <c r="L16" s="108">
        <v>44470</v>
      </c>
      <c r="M16" s="12">
        <v>69385</v>
      </c>
      <c r="N16">
        <v>4</v>
      </c>
      <c r="O16" s="6" t="s">
        <v>1063</v>
      </c>
      <c r="P16" s="69">
        <f t="shared" si="0"/>
        <v>5782.083333333333</v>
      </c>
      <c r="R16">
        <v>1</v>
      </c>
      <c r="S16" s="6" t="s">
        <v>1180</v>
      </c>
      <c r="T16" s="69">
        <v>5185</v>
      </c>
      <c r="V16">
        <v>4</v>
      </c>
      <c r="W16" t="s">
        <v>1063</v>
      </c>
      <c r="X16" s="69">
        <v>5782.083333333333</v>
      </c>
      <c r="Z16">
        <v>4</v>
      </c>
      <c r="AA16" t="s">
        <v>1063</v>
      </c>
      <c r="AB16" s="69">
        <v>5782.083333333333</v>
      </c>
    </row>
    <row r="17" spans="4:28" x14ac:dyDescent="0.2">
      <c r="D17" s="432">
        <v>2</v>
      </c>
      <c r="E17" s="108">
        <v>45383</v>
      </c>
      <c r="F17" s="12">
        <v>69361.149999999994</v>
      </c>
      <c r="G17" s="12"/>
      <c r="H17" s="6"/>
      <c r="I17" s="6"/>
      <c r="J17" s="69"/>
      <c r="L17" s="108">
        <v>44470</v>
      </c>
      <c r="M17" s="12">
        <v>71952</v>
      </c>
      <c r="N17">
        <v>5</v>
      </c>
      <c r="O17" s="6" t="s">
        <v>1063</v>
      </c>
      <c r="P17" s="69">
        <f t="shared" si="0"/>
        <v>5996</v>
      </c>
      <c r="R17">
        <v>2</v>
      </c>
      <c r="S17" s="6" t="s">
        <v>1166</v>
      </c>
      <c r="T17" s="69">
        <v>5376.83</v>
      </c>
      <c r="V17">
        <v>5</v>
      </c>
      <c r="W17" t="s">
        <v>1063</v>
      </c>
      <c r="X17" s="69">
        <v>5996</v>
      </c>
      <c r="Z17">
        <v>5</v>
      </c>
      <c r="AA17" t="s">
        <v>1063</v>
      </c>
      <c r="AB17" s="69">
        <v>5996</v>
      </c>
    </row>
    <row r="18" spans="4:28" x14ac:dyDescent="0.2">
      <c r="D18" s="432">
        <v>3</v>
      </c>
      <c r="E18" s="108">
        <v>45383</v>
      </c>
      <c r="F18" s="12">
        <v>71927.175000000003</v>
      </c>
      <c r="G18" s="12"/>
      <c r="I18" s="6"/>
      <c r="J18" s="69"/>
      <c r="N18" s="6" t="s">
        <v>110</v>
      </c>
      <c r="O18" s="6" t="s">
        <v>1058</v>
      </c>
      <c r="P18" s="69">
        <f>Year1!G118*1.03</f>
        <v>6695</v>
      </c>
      <c r="R18">
        <v>2</v>
      </c>
      <c r="S18" s="6" t="s">
        <v>1180</v>
      </c>
      <c r="T18" s="69">
        <v>5376.83</v>
      </c>
      <c r="V18" t="s">
        <v>110</v>
      </c>
      <c r="W18" t="s">
        <v>1058</v>
      </c>
      <c r="X18" s="69">
        <f>X11*1.03</f>
        <v>7210</v>
      </c>
      <c r="Z18" t="s">
        <v>110</v>
      </c>
      <c r="AA18" t="s">
        <v>1058</v>
      </c>
      <c r="AB18" s="69">
        <f>AB11*1.03</f>
        <v>7416</v>
      </c>
    </row>
    <row r="19" spans="4:28" x14ac:dyDescent="0.2">
      <c r="D19" s="432">
        <v>4</v>
      </c>
      <c r="E19" s="108">
        <v>45383</v>
      </c>
      <c r="F19" s="12">
        <v>74588.875</v>
      </c>
      <c r="G19" s="12"/>
      <c r="H19" s="6"/>
      <c r="I19" s="6"/>
      <c r="J19" s="69"/>
      <c r="K19">
        <v>0</v>
      </c>
      <c r="L19" s="108">
        <v>45200</v>
      </c>
      <c r="M19" s="12">
        <v>64480</v>
      </c>
      <c r="N19">
        <v>0</v>
      </c>
      <c r="O19" t="s">
        <v>1058</v>
      </c>
      <c r="P19" s="69">
        <f>M19/12</f>
        <v>5373.333333333333</v>
      </c>
      <c r="R19">
        <v>3</v>
      </c>
      <c r="S19" s="6" t="s">
        <v>1166</v>
      </c>
      <c r="T19" s="69">
        <v>5575.75</v>
      </c>
      <c r="V19">
        <v>0</v>
      </c>
      <c r="W19" t="s">
        <v>1058</v>
      </c>
      <c r="X19" s="69">
        <v>5373.333333333333</v>
      </c>
      <c r="Z19">
        <v>0</v>
      </c>
      <c r="AA19" t="s">
        <v>1058</v>
      </c>
      <c r="AB19" s="69">
        <v>5373.333333333333</v>
      </c>
    </row>
    <row r="20" spans="4:28" x14ac:dyDescent="0.2">
      <c r="D20" s="432">
        <v>5</v>
      </c>
      <c r="E20" s="108">
        <v>45383</v>
      </c>
      <c r="F20" s="12">
        <v>77348.399999999994</v>
      </c>
      <c r="G20" s="12"/>
      <c r="I20" s="6"/>
      <c r="J20" s="69"/>
      <c r="K20">
        <v>1</v>
      </c>
      <c r="L20" s="108">
        <v>45200</v>
      </c>
      <c r="M20" s="12">
        <v>66868</v>
      </c>
      <c r="N20">
        <v>1</v>
      </c>
      <c r="O20" t="s">
        <v>1058</v>
      </c>
      <c r="P20" s="69">
        <f t="shared" ref="P20:P24" si="1">M20/12</f>
        <v>5572.333333333333</v>
      </c>
      <c r="R20">
        <v>3</v>
      </c>
      <c r="S20" s="6" t="s">
        <v>1180</v>
      </c>
      <c r="T20" s="69">
        <v>5575.75</v>
      </c>
      <c r="V20">
        <v>1</v>
      </c>
      <c r="W20" t="s">
        <v>1058</v>
      </c>
      <c r="X20" s="69">
        <v>5572.333333333333</v>
      </c>
      <c r="Z20">
        <v>1</v>
      </c>
      <c r="AA20" t="s">
        <v>1058</v>
      </c>
      <c r="AB20" s="69">
        <v>5572.333333333333</v>
      </c>
    </row>
    <row r="21" spans="4:28" x14ac:dyDescent="0.2">
      <c r="D21" s="432">
        <v>0</v>
      </c>
      <c r="E21" s="108">
        <v>45748</v>
      </c>
      <c r="F21" s="12">
        <v>66757.5</v>
      </c>
      <c r="G21" s="12"/>
      <c r="H21" s="12"/>
      <c r="K21">
        <v>2</v>
      </c>
      <c r="L21" s="108">
        <v>45200</v>
      </c>
      <c r="M21" s="12">
        <v>69342</v>
      </c>
      <c r="N21">
        <v>2</v>
      </c>
      <c r="O21" t="s">
        <v>1058</v>
      </c>
      <c r="P21" s="69">
        <f t="shared" si="1"/>
        <v>5778.5</v>
      </c>
      <c r="R21">
        <v>4</v>
      </c>
      <c r="S21" s="6" t="s">
        <v>1166</v>
      </c>
      <c r="T21" s="69">
        <v>5782.08</v>
      </c>
      <c r="V21">
        <v>2</v>
      </c>
      <c r="W21" t="s">
        <v>1058</v>
      </c>
      <c r="X21" s="69">
        <v>5778.5</v>
      </c>
      <c r="Z21">
        <v>2</v>
      </c>
      <c r="AA21" t="s">
        <v>1058</v>
      </c>
      <c r="AB21" s="69">
        <v>5778.5</v>
      </c>
    </row>
    <row r="22" spans="4:28" ht="15" x14ac:dyDescent="0.25">
      <c r="D22" s="433">
        <v>1</v>
      </c>
      <c r="E22" s="108">
        <v>45748</v>
      </c>
      <c r="F22" s="12">
        <v>69227.527499999997</v>
      </c>
      <c r="G22" s="12"/>
      <c r="H22" s="12"/>
      <c r="K22">
        <v>3</v>
      </c>
      <c r="L22" s="108">
        <v>45200</v>
      </c>
      <c r="M22" s="12">
        <v>71908</v>
      </c>
      <c r="N22">
        <v>3</v>
      </c>
      <c r="O22" t="s">
        <v>1058</v>
      </c>
      <c r="P22" s="69">
        <f t="shared" si="1"/>
        <v>5992.333333333333</v>
      </c>
      <c r="R22">
        <v>4</v>
      </c>
      <c r="S22" s="6" t="s">
        <v>1180</v>
      </c>
      <c r="T22" s="69">
        <v>5782.08</v>
      </c>
      <c r="V22">
        <v>3</v>
      </c>
      <c r="W22" t="s">
        <v>1058</v>
      </c>
      <c r="X22" s="69">
        <v>5992.333333333333</v>
      </c>
      <c r="Z22">
        <v>3</v>
      </c>
      <c r="AA22" t="s">
        <v>1058</v>
      </c>
      <c r="AB22" s="69">
        <v>5992.333333333333</v>
      </c>
    </row>
    <row r="23" spans="4:28" x14ac:dyDescent="0.2">
      <c r="D23" s="432">
        <v>2</v>
      </c>
      <c r="E23" s="108">
        <v>45748</v>
      </c>
      <c r="F23" s="12">
        <v>71788.790249999991</v>
      </c>
      <c r="G23" s="12"/>
      <c r="H23" s="12"/>
      <c r="K23">
        <v>4</v>
      </c>
      <c r="L23" s="108">
        <v>45200</v>
      </c>
      <c r="M23" s="12">
        <v>74569</v>
      </c>
      <c r="N23">
        <v>4</v>
      </c>
      <c r="O23" t="s">
        <v>1058</v>
      </c>
      <c r="P23" s="69">
        <f t="shared" si="1"/>
        <v>6214.083333333333</v>
      </c>
      <c r="R23">
        <v>5</v>
      </c>
      <c r="S23" s="6" t="s">
        <v>1166</v>
      </c>
      <c r="T23" s="69">
        <v>5996</v>
      </c>
      <c r="V23">
        <v>4</v>
      </c>
      <c r="W23" t="s">
        <v>1058</v>
      </c>
      <c r="X23" s="69">
        <v>6214.083333333333</v>
      </c>
      <c r="Z23">
        <v>4</v>
      </c>
      <c r="AA23" t="s">
        <v>1058</v>
      </c>
      <c r="AB23" s="69">
        <v>6214.083333333333</v>
      </c>
    </row>
    <row r="24" spans="4:28" x14ac:dyDescent="0.2">
      <c r="D24" s="432">
        <v>3</v>
      </c>
      <c r="E24" s="108">
        <v>45748</v>
      </c>
      <c r="F24" s="12">
        <v>74444.626124999995</v>
      </c>
      <c r="G24" s="12"/>
      <c r="H24" s="12"/>
      <c r="K24">
        <v>5</v>
      </c>
      <c r="L24" s="108">
        <v>45200</v>
      </c>
      <c r="M24" s="12">
        <v>77327</v>
      </c>
      <c r="N24">
        <v>5</v>
      </c>
      <c r="O24" t="s">
        <v>1058</v>
      </c>
      <c r="P24" s="69">
        <f t="shared" si="1"/>
        <v>6443.916666666667</v>
      </c>
      <c r="R24">
        <v>5</v>
      </c>
      <c r="S24" s="6" t="s">
        <v>1180</v>
      </c>
      <c r="T24" s="69">
        <v>5996</v>
      </c>
      <c r="V24">
        <v>5</v>
      </c>
      <c r="W24" t="s">
        <v>1058</v>
      </c>
      <c r="X24" s="69">
        <v>6443.916666666667</v>
      </c>
      <c r="Z24">
        <v>5</v>
      </c>
      <c r="AA24" t="s">
        <v>1058</v>
      </c>
      <c r="AB24" s="69">
        <v>6443.916666666667</v>
      </c>
    </row>
    <row r="25" spans="4:28" x14ac:dyDescent="0.2">
      <c r="D25" s="432">
        <v>4</v>
      </c>
      <c r="E25" s="108">
        <v>45748</v>
      </c>
      <c r="F25" s="12">
        <v>77199.485625000001</v>
      </c>
      <c r="G25" s="12"/>
      <c r="H25" s="12"/>
      <c r="N25">
        <v>6</v>
      </c>
      <c r="O25" t="s">
        <v>1058</v>
      </c>
      <c r="P25" s="69">
        <v>6443.92</v>
      </c>
      <c r="R25" t="s">
        <v>110</v>
      </c>
      <c r="S25" s="6" t="s">
        <v>1168</v>
      </c>
      <c r="T25" s="69">
        <f>T11*1.03</f>
        <v>0</v>
      </c>
      <c r="V25">
        <v>6</v>
      </c>
      <c r="W25" t="s">
        <v>1058</v>
      </c>
      <c r="X25" s="69">
        <v>6443.92</v>
      </c>
      <c r="Z25">
        <v>6</v>
      </c>
      <c r="AA25" t="s">
        <v>1058</v>
      </c>
      <c r="AB25" s="69">
        <v>6443.92</v>
      </c>
    </row>
    <row r="26" spans="4:28" x14ac:dyDescent="0.2">
      <c r="D26" s="432">
        <v>5</v>
      </c>
      <c r="E26" s="108">
        <v>45748</v>
      </c>
      <c r="F26" s="12">
        <v>80055.593999999983</v>
      </c>
      <c r="G26" s="12"/>
      <c r="H26" s="12"/>
      <c r="N26" s="6" t="s">
        <v>110</v>
      </c>
      <c r="O26" s="6" t="s">
        <v>1059</v>
      </c>
      <c r="P26" s="69">
        <f>P18*1.03</f>
        <v>6895.85</v>
      </c>
      <c r="R26" t="s">
        <v>110</v>
      </c>
      <c r="S26" s="6" t="s">
        <v>1167</v>
      </c>
      <c r="T26" s="69">
        <f>T12*1.03</f>
        <v>0</v>
      </c>
      <c r="V26" t="s">
        <v>110</v>
      </c>
      <c r="W26" t="s">
        <v>1059</v>
      </c>
      <c r="X26" s="69">
        <f>X18*1.03</f>
        <v>7426.3</v>
      </c>
      <c r="Z26" t="s">
        <v>110</v>
      </c>
      <c r="AA26" t="s">
        <v>1059</v>
      </c>
      <c r="AB26" s="69">
        <f>AB18*1.03</f>
        <v>7638.4800000000005</v>
      </c>
    </row>
    <row r="27" spans="4:28" x14ac:dyDescent="0.2">
      <c r="D27" s="432">
        <v>0</v>
      </c>
      <c r="E27" s="108">
        <v>46113</v>
      </c>
      <c r="F27" s="12">
        <v>69094.012499999997</v>
      </c>
      <c r="G27" s="12"/>
      <c r="H27" s="12"/>
      <c r="K27">
        <v>0</v>
      </c>
      <c r="L27" s="108">
        <v>45566</v>
      </c>
      <c r="M27" s="12">
        <v>66737</v>
      </c>
      <c r="N27">
        <v>0</v>
      </c>
      <c r="O27" t="s">
        <v>1059</v>
      </c>
      <c r="P27" s="69">
        <f t="shared" ref="P27:P32" si="2">M27/12</f>
        <v>5561.416666666667</v>
      </c>
      <c r="R27">
        <v>0</v>
      </c>
      <c r="S27" s="6" t="s">
        <v>1168</v>
      </c>
      <c r="T27" s="69">
        <v>5375</v>
      </c>
      <c r="V27">
        <v>0</v>
      </c>
      <c r="W27" t="s">
        <v>1059</v>
      </c>
      <c r="X27" s="69">
        <v>5561.416666666667</v>
      </c>
      <c r="Z27">
        <v>0</v>
      </c>
      <c r="AA27" t="s">
        <v>1059</v>
      </c>
      <c r="AB27" s="69">
        <v>5561.416666666667</v>
      </c>
    </row>
    <row r="28" spans="4:28" ht="15" x14ac:dyDescent="0.25">
      <c r="D28" s="433">
        <v>1</v>
      </c>
      <c r="E28" s="108">
        <v>46113</v>
      </c>
      <c r="F28" s="12">
        <v>71650.490962499985</v>
      </c>
      <c r="G28" s="12"/>
      <c r="H28" s="12"/>
      <c r="K28">
        <v>1</v>
      </c>
      <c r="L28" s="108">
        <v>45566</v>
      </c>
      <c r="M28" s="12">
        <v>69208</v>
      </c>
      <c r="N28">
        <v>1</v>
      </c>
      <c r="O28" t="s">
        <v>1059</v>
      </c>
      <c r="P28" s="69">
        <f t="shared" si="2"/>
        <v>5767.333333333333</v>
      </c>
      <c r="R28">
        <v>0</v>
      </c>
      <c r="S28" s="6" t="s">
        <v>1167</v>
      </c>
      <c r="T28" s="69">
        <v>5375</v>
      </c>
      <c r="V28">
        <v>1</v>
      </c>
      <c r="W28" t="s">
        <v>1059</v>
      </c>
      <c r="X28" s="69">
        <v>5767.333333333333</v>
      </c>
      <c r="Z28">
        <v>1</v>
      </c>
      <c r="AA28" t="s">
        <v>1059</v>
      </c>
      <c r="AB28" s="69">
        <v>5767.333333333333</v>
      </c>
    </row>
    <row r="29" spans="4:28" x14ac:dyDescent="0.2">
      <c r="D29" s="432">
        <v>2</v>
      </c>
      <c r="E29" s="108">
        <v>46113</v>
      </c>
      <c r="F29" s="12">
        <v>74301.39790874999</v>
      </c>
      <c r="G29" s="12"/>
      <c r="H29" s="12"/>
      <c r="K29">
        <v>2</v>
      </c>
      <c r="L29" s="108">
        <v>45566</v>
      </c>
      <c r="M29" s="12">
        <v>71769</v>
      </c>
      <c r="N29">
        <v>2</v>
      </c>
      <c r="O29" t="s">
        <v>1059</v>
      </c>
      <c r="P29" s="69">
        <f t="shared" si="2"/>
        <v>5980.75</v>
      </c>
      <c r="R29">
        <v>1</v>
      </c>
      <c r="S29" s="6" t="s">
        <v>1168</v>
      </c>
      <c r="T29" s="69">
        <v>5573.875</v>
      </c>
      <c r="V29">
        <v>2</v>
      </c>
      <c r="W29" t="s">
        <v>1059</v>
      </c>
      <c r="X29" s="69">
        <v>5980.75</v>
      </c>
      <c r="Z29">
        <v>2</v>
      </c>
      <c r="AA29" t="s">
        <v>1059</v>
      </c>
      <c r="AB29" s="69">
        <v>5980.75</v>
      </c>
    </row>
    <row r="30" spans="4:28" ht="15.75" customHeight="1" x14ac:dyDescent="0.2">
      <c r="D30" s="432">
        <v>3</v>
      </c>
      <c r="E30" s="108">
        <v>46113</v>
      </c>
      <c r="F30" s="12">
        <v>77050.188039374989</v>
      </c>
      <c r="G30" s="12"/>
      <c r="H30" s="12"/>
      <c r="K30">
        <v>3</v>
      </c>
      <c r="L30" s="108">
        <v>45566</v>
      </c>
      <c r="M30" s="12">
        <v>74425</v>
      </c>
      <c r="N30">
        <v>3</v>
      </c>
      <c r="O30" t="s">
        <v>1059</v>
      </c>
      <c r="P30" s="69">
        <f t="shared" si="2"/>
        <v>6202.083333333333</v>
      </c>
      <c r="R30">
        <v>1</v>
      </c>
      <c r="S30" s="6" t="s">
        <v>1167</v>
      </c>
      <c r="T30" s="69">
        <v>5573.875</v>
      </c>
      <c r="V30">
        <v>3</v>
      </c>
      <c r="W30" t="s">
        <v>1059</v>
      </c>
      <c r="X30" s="69">
        <v>6202.083333333333</v>
      </c>
      <c r="Z30">
        <v>3</v>
      </c>
      <c r="AA30" t="s">
        <v>1059</v>
      </c>
      <c r="AB30" s="69">
        <v>6202.083333333333</v>
      </c>
    </row>
    <row r="31" spans="4:28" x14ac:dyDescent="0.2">
      <c r="D31" s="432">
        <v>4</v>
      </c>
      <c r="E31" s="108">
        <v>46113</v>
      </c>
      <c r="F31" s="12">
        <v>79901.467621874996</v>
      </c>
      <c r="G31" s="12"/>
      <c r="H31" s="12"/>
      <c r="K31">
        <v>4</v>
      </c>
      <c r="L31" s="108">
        <v>45566</v>
      </c>
      <c r="M31" s="12">
        <v>77179</v>
      </c>
      <c r="N31">
        <v>4</v>
      </c>
      <c r="O31" t="s">
        <v>1059</v>
      </c>
      <c r="P31" s="69">
        <f t="shared" si="2"/>
        <v>6431.583333333333</v>
      </c>
      <c r="R31">
        <v>2</v>
      </c>
      <c r="S31" s="6" t="s">
        <v>1168</v>
      </c>
      <c r="T31" s="69">
        <v>5780.0958333333328</v>
      </c>
      <c r="V31">
        <v>4</v>
      </c>
      <c r="W31" t="s">
        <v>1059</v>
      </c>
      <c r="X31" s="69">
        <v>6431.583333333333</v>
      </c>
      <c r="Z31">
        <v>4</v>
      </c>
      <c r="AA31" t="s">
        <v>1059</v>
      </c>
      <c r="AB31" s="69">
        <v>6431.583333333333</v>
      </c>
    </row>
    <row r="32" spans="4:28" x14ac:dyDescent="0.2">
      <c r="D32" s="432">
        <v>5</v>
      </c>
      <c r="E32" s="108">
        <v>46113</v>
      </c>
      <c r="F32" s="12">
        <v>82857.539789999981</v>
      </c>
      <c r="G32" s="12"/>
      <c r="H32" s="12"/>
      <c r="K32">
        <v>5</v>
      </c>
      <c r="L32" s="108">
        <v>45566</v>
      </c>
      <c r="M32" s="12">
        <v>80033</v>
      </c>
      <c r="N32">
        <v>5</v>
      </c>
      <c r="O32" t="s">
        <v>1059</v>
      </c>
      <c r="P32" s="69">
        <f t="shared" si="2"/>
        <v>6669.416666666667</v>
      </c>
      <c r="R32">
        <v>2</v>
      </c>
      <c r="S32" s="6" t="s">
        <v>1167</v>
      </c>
      <c r="T32" s="69">
        <v>5780.0958333333328</v>
      </c>
      <c r="V32">
        <v>5</v>
      </c>
      <c r="W32" t="s">
        <v>1059</v>
      </c>
      <c r="X32" s="69">
        <v>6669.416666666667</v>
      </c>
      <c r="Z32">
        <v>5</v>
      </c>
      <c r="AA32" t="s">
        <v>1059</v>
      </c>
      <c r="AB32" s="69">
        <v>6669.416666666667</v>
      </c>
    </row>
    <row r="33" spans="4:28" x14ac:dyDescent="0.2">
      <c r="D33" s="432">
        <v>0</v>
      </c>
      <c r="E33" s="108">
        <v>46478</v>
      </c>
      <c r="F33" s="12">
        <v>71512.30293749999</v>
      </c>
      <c r="G33" s="12"/>
      <c r="H33" s="12"/>
      <c r="N33">
        <v>6</v>
      </c>
      <c r="O33" t="s">
        <v>1059</v>
      </c>
      <c r="P33" s="69">
        <v>6669.42</v>
      </c>
      <c r="R33">
        <v>3</v>
      </c>
      <c r="S33" s="6" t="s">
        <v>1168</v>
      </c>
      <c r="T33" s="69">
        <v>5993.9312500000005</v>
      </c>
      <c r="V33">
        <v>6</v>
      </c>
      <c r="W33" t="s">
        <v>1059</v>
      </c>
      <c r="X33" s="69">
        <v>6669.42</v>
      </c>
      <c r="Z33">
        <v>6</v>
      </c>
      <c r="AA33" t="s">
        <v>1059</v>
      </c>
      <c r="AB33" s="69">
        <v>6669.42</v>
      </c>
    </row>
    <row r="34" spans="4:28" ht="15" x14ac:dyDescent="0.25">
      <c r="D34" s="433">
        <v>1</v>
      </c>
      <c r="E34" s="108">
        <v>46478</v>
      </c>
      <c r="F34" s="12">
        <v>74158.25814618748</v>
      </c>
      <c r="G34" s="12"/>
      <c r="H34" s="12"/>
      <c r="N34">
        <v>7</v>
      </c>
      <c r="O34" t="s">
        <v>1059</v>
      </c>
      <c r="P34" s="69">
        <v>6669.42</v>
      </c>
      <c r="R34">
        <v>3</v>
      </c>
      <c r="S34" s="6" t="s">
        <v>1167</v>
      </c>
      <c r="T34" s="69">
        <v>5993.9312500000005</v>
      </c>
      <c r="V34">
        <v>7</v>
      </c>
      <c r="W34" t="s">
        <v>1059</v>
      </c>
      <c r="X34" s="69">
        <v>6669.42</v>
      </c>
      <c r="Z34">
        <v>7</v>
      </c>
      <c r="AA34" t="s">
        <v>1059</v>
      </c>
      <c r="AB34" s="69">
        <v>6669.42</v>
      </c>
    </row>
    <row r="35" spans="4:28" x14ac:dyDescent="0.2">
      <c r="D35" s="432">
        <v>2</v>
      </c>
      <c r="E35" s="108">
        <v>46478</v>
      </c>
      <c r="F35" s="12">
        <v>76901.946835556228</v>
      </c>
      <c r="G35" s="12"/>
      <c r="H35" s="12"/>
      <c r="N35" s="6" t="s">
        <v>110</v>
      </c>
      <c r="O35" s="6" t="s">
        <v>1060</v>
      </c>
      <c r="P35" s="69">
        <f>P26*1.03</f>
        <v>7102.7255000000005</v>
      </c>
      <c r="R35">
        <v>4</v>
      </c>
      <c r="S35" s="6" t="s">
        <v>1168</v>
      </c>
      <c r="T35" s="69">
        <v>6215.739583333333</v>
      </c>
      <c r="V35" t="s">
        <v>110</v>
      </c>
      <c r="W35" t="s">
        <v>1060</v>
      </c>
      <c r="X35" s="69">
        <f>X26*1.03</f>
        <v>7649.0889999999999</v>
      </c>
      <c r="Z35" t="s">
        <v>110</v>
      </c>
      <c r="AA35" t="s">
        <v>1060</v>
      </c>
      <c r="AB35" s="69">
        <f>AB26*1.03</f>
        <v>7867.6344000000008</v>
      </c>
    </row>
    <row r="36" spans="4:28" x14ac:dyDescent="0.2">
      <c r="D36" s="432">
        <v>3</v>
      </c>
      <c r="E36" s="108">
        <v>46478</v>
      </c>
      <c r="F36" s="12">
        <v>79746.944620753115</v>
      </c>
      <c r="G36" s="12"/>
      <c r="H36" s="12"/>
      <c r="K36">
        <v>0</v>
      </c>
      <c r="L36" s="108">
        <v>45931</v>
      </c>
      <c r="M36" s="12">
        <v>69073</v>
      </c>
      <c r="N36">
        <v>0</v>
      </c>
      <c r="O36" t="s">
        <v>1060</v>
      </c>
      <c r="P36" s="69">
        <f t="shared" ref="P36:P41" si="3">M36/12</f>
        <v>5756.083333333333</v>
      </c>
      <c r="R36">
        <v>4</v>
      </c>
      <c r="S36" s="6" t="s">
        <v>1167</v>
      </c>
      <c r="T36" s="69">
        <v>6215.739583333333</v>
      </c>
      <c r="V36">
        <v>0</v>
      </c>
      <c r="W36" t="s">
        <v>1060</v>
      </c>
      <c r="X36" s="69">
        <v>5756.083333333333</v>
      </c>
      <c r="Z36">
        <v>0</v>
      </c>
      <c r="AA36" t="s">
        <v>1060</v>
      </c>
      <c r="AB36" s="69">
        <v>5756.083333333333</v>
      </c>
    </row>
    <row r="37" spans="4:28" x14ac:dyDescent="0.2">
      <c r="D37" s="432">
        <v>4</v>
      </c>
      <c r="E37" s="108">
        <v>46478</v>
      </c>
      <c r="F37" s="12">
        <v>82698.018988640615</v>
      </c>
      <c r="G37" s="12"/>
      <c r="H37" s="12"/>
      <c r="K37">
        <v>1</v>
      </c>
      <c r="L37" s="108">
        <v>45931</v>
      </c>
      <c r="M37" s="12">
        <v>71630</v>
      </c>
      <c r="N37">
        <v>1</v>
      </c>
      <c r="O37" t="s">
        <v>1060</v>
      </c>
      <c r="P37" s="69">
        <f t="shared" si="3"/>
        <v>5969.166666666667</v>
      </c>
      <c r="R37">
        <v>5</v>
      </c>
      <c r="S37" s="6" t="s">
        <v>1168</v>
      </c>
      <c r="T37" s="69">
        <v>6445.7</v>
      </c>
      <c r="V37">
        <v>1</v>
      </c>
      <c r="W37" t="s">
        <v>1060</v>
      </c>
      <c r="X37" s="69">
        <v>5969.166666666667</v>
      </c>
      <c r="Z37">
        <v>1</v>
      </c>
      <c r="AA37" t="s">
        <v>1060</v>
      </c>
      <c r="AB37" s="69">
        <v>5969.166666666667</v>
      </c>
    </row>
    <row r="38" spans="4:28" x14ac:dyDescent="0.2">
      <c r="D38" s="432">
        <v>5</v>
      </c>
      <c r="E38" s="108">
        <v>46478</v>
      </c>
      <c r="F38" s="12">
        <v>85757.553682649974</v>
      </c>
      <c r="G38" s="12"/>
      <c r="H38" s="12"/>
      <c r="K38">
        <v>2</v>
      </c>
      <c r="L38" s="108">
        <v>45931</v>
      </c>
      <c r="M38" s="12">
        <v>74281</v>
      </c>
      <c r="N38">
        <v>2</v>
      </c>
      <c r="O38" t="s">
        <v>1060</v>
      </c>
      <c r="P38" s="69">
        <f t="shared" si="3"/>
        <v>6190.083333333333</v>
      </c>
      <c r="R38">
        <v>5</v>
      </c>
      <c r="S38" s="6" t="s">
        <v>1167</v>
      </c>
      <c r="T38" s="69">
        <v>6445.7</v>
      </c>
      <c r="V38">
        <v>2</v>
      </c>
      <c r="W38" t="s">
        <v>1060</v>
      </c>
      <c r="X38" s="69">
        <v>6190.083333333333</v>
      </c>
      <c r="Z38">
        <v>2</v>
      </c>
      <c r="AA38" t="s">
        <v>1060</v>
      </c>
      <c r="AB38" s="69">
        <v>6190.083333333333</v>
      </c>
    </row>
    <row r="39" spans="4:28" x14ac:dyDescent="0.2">
      <c r="D39" s="432">
        <v>0</v>
      </c>
      <c r="E39" s="108">
        <v>46844</v>
      </c>
      <c r="F39" s="12">
        <v>74015.233540312489</v>
      </c>
      <c r="G39" s="12"/>
      <c r="H39" s="12"/>
      <c r="K39">
        <v>3</v>
      </c>
      <c r="L39" s="108">
        <v>45931</v>
      </c>
      <c r="M39" s="12">
        <v>77030</v>
      </c>
      <c r="N39">
        <v>3</v>
      </c>
      <c r="O39" t="s">
        <v>1060</v>
      </c>
      <c r="P39" s="69">
        <f t="shared" si="3"/>
        <v>6419.166666666667</v>
      </c>
      <c r="R39">
        <v>6</v>
      </c>
      <c r="S39" s="6" t="s">
        <v>1168</v>
      </c>
      <c r="T39" s="69">
        <v>6445.7</v>
      </c>
      <c r="V39">
        <v>3</v>
      </c>
      <c r="W39" t="s">
        <v>1060</v>
      </c>
      <c r="X39" s="69">
        <v>6419.166666666667</v>
      </c>
      <c r="Z39">
        <v>3</v>
      </c>
      <c r="AA39" t="s">
        <v>1060</v>
      </c>
      <c r="AB39" s="69">
        <v>6419.166666666667</v>
      </c>
    </row>
    <row r="40" spans="4:28" ht="15" x14ac:dyDescent="0.25">
      <c r="D40" s="433">
        <v>1</v>
      </c>
      <c r="E40" s="108">
        <v>46844</v>
      </c>
      <c r="F40" s="12">
        <v>76753.797181304035</v>
      </c>
      <c r="G40" s="12"/>
      <c r="H40" s="12"/>
      <c r="K40">
        <v>4</v>
      </c>
      <c r="L40" s="108">
        <v>45931</v>
      </c>
      <c r="M40" s="12">
        <v>79880</v>
      </c>
      <c r="N40">
        <v>4</v>
      </c>
      <c r="O40" t="s">
        <v>1060</v>
      </c>
      <c r="P40" s="69">
        <f t="shared" si="3"/>
        <v>6656.666666666667</v>
      </c>
      <c r="R40">
        <v>6</v>
      </c>
      <c r="S40" s="6" t="s">
        <v>1167</v>
      </c>
      <c r="T40" s="69">
        <v>6445.7</v>
      </c>
      <c r="V40">
        <v>4</v>
      </c>
      <c r="W40" t="s">
        <v>1060</v>
      </c>
      <c r="X40" s="69">
        <v>6656.666666666667</v>
      </c>
      <c r="Z40">
        <v>4</v>
      </c>
      <c r="AA40" t="s">
        <v>1060</v>
      </c>
      <c r="AB40" s="69">
        <v>6656.666666666667</v>
      </c>
    </row>
    <row r="41" spans="4:28" x14ac:dyDescent="0.2">
      <c r="D41" s="432">
        <v>2</v>
      </c>
      <c r="E41" s="108">
        <v>46844</v>
      </c>
      <c r="F41" s="12">
        <v>79593.514974800695</v>
      </c>
      <c r="G41" s="12"/>
      <c r="H41" s="12"/>
      <c r="K41">
        <v>5</v>
      </c>
      <c r="L41" s="108">
        <v>45931</v>
      </c>
      <c r="M41" s="12">
        <v>82834</v>
      </c>
      <c r="N41">
        <v>5</v>
      </c>
      <c r="O41" t="s">
        <v>1060</v>
      </c>
      <c r="P41" s="69">
        <f t="shared" si="3"/>
        <v>6902.833333333333</v>
      </c>
      <c r="R41" t="s">
        <v>110</v>
      </c>
      <c r="S41" s="6" t="s">
        <v>1170</v>
      </c>
      <c r="T41" s="69">
        <f>T25*1.03</f>
        <v>0</v>
      </c>
      <c r="V41">
        <v>5</v>
      </c>
      <c r="W41" t="s">
        <v>1060</v>
      </c>
      <c r="X41" s="69">
        <v>6902.833333333333</v>
      </c>
      <c r="Z41">
        <v>5</v>
      </c>
      <c r="AA41" t="s">
        <v>1060</v>
      </c>
      <c r="AB41" s="69">
        <v>6902.833333333333</v>
      </c>
    </row>
    <row r="42" spans="4:28" x14ac:dyDescent="0.2">
      <c r="D42" s="432">
        <v>3</v>
      </c>
      <c r="E42" s="108">
        <v>46844</v>
      </c>
      <c r="F42" s="12">
        <v>82538.087682479469</v>
      </c>
      <c r="G42" s="12"/>
      <c r="H42" s="12"/>
      <c r="N42">
        <v>6</v>
      </c>
      <c r="O42" t="s">
        <v>1060</v>
      </c>
      <c r="P42" s="69">
        <v>6902.83</v>
      </c>
      <c r="R42" t="s">
        <v>110</v>
      </c>
      <c r="S42" s="6" t="s">
        <v>1169</v>
      </c>
      <c r="T42" s="69">
        <f>T26*1.03</f>
        <v>0</v>
      </c>
      <c r="V42">
        <v>6</v>
      </c>
      <c r="W42" t="s">
        <v>1060</v>
      </c>
      <c r="X42" s="69">
        <v>6902.83</v>
      </c>
      <c r="Z42">
        <v>6</v>
      </c>
      <c r="AA42" t="s">
        <v>1060</v>
      </c>
      <c r="AB42" s="69">
        <v>6902.83</v>
      </c>
    </row>
    <row r="43" spans="4:28" x14ac:dyDescent="0.2">
      <c r="D43" s="432">
        <v>4</v>
      </c>
      <c r="E43" s="108">
        <v>46844</v>
      </c>
      <c r="F43" s="12">
        <v>85592.449653243035</v>
      </c>
      <c r="G43" s="12"/>
      <c r="H43" s="12"/>
      <c r="N43">
        <v>7</v>
      </c>
      <c r="O43" t="s">
        <v>1060</v>
      </c>
      <c r="P43" s="69">
        <v>6902.83</v>
      </c>
      <c r="R43">
        <v>0</v>
      </c>
      <c r="S43" s="6" t="s">
        <v>1170</v>
      </c>
      <c r="T43" s="69">
        <v>5563.125</v>
      </c>
      <c r="V43">
        <v>7</v>
      </c>
      <c r="W43" t="s">
        <v>1060</v>
      </c>
      <c r="X43" s="69">
        <v>6902.83</v>
      </c>
      <c r="Z43">
        <v>7</v>
      </c>
      <c r="AA43" t="s">
        <v>1060</v>
      </c>
      <c r="AB43" s="69">
        <v>6902.83</v>
      </c>
    </row>
    <row r="44" spans="4:28" x14ac:dyDescent="0.2">
      <c r="D44" s="432">
        <v>5</v>
      </c>
      <c r="E44" s="108">
        <v>46844</v>
      </c>
      <c r="F44" s="12">
        <v>88759.068061542712</v>
      </c>
      <c r="G44" s="12"/>
      <c r="H44" s="12"/>
      <c r="N44">
        <v>8</v>
      </c>
      <c r="O44" t="s">
        <v>1060</v>
      </c>
      <c r="P44" s="69">
        <v>6902.83</v>
      </c>
      <c r="R44">
        <v>0</v>
      </c>
      <c r="S44" s="6" t="s">
        <v>1169</v>
      </c>
      <c r="T44" s="69">
        <v>5563.125</v>
      </c>
      <c r="V44">
        <v>8</v>
      </c>
      <c r="W44" t="s">
        <v>1060</v>
      </c>
      <c r="X44" s="69">
        <v>6902.83</v>
      </c>
      <c r="Z44">
        <v>8</v>
      </c>
      <c r="AA44" t="s">
        <v>1060</v>
      </c>
      <c r="AB44" s="69">
        <v>6902.83</v>
      </c>
    </row>
    <row r="45" spans="4:28" x14ac:dyDescent="0.2">
      <c r="N45" s="6" t="s">
        <v>110</v>
      </c>
      <c r="O45" s="6" t="s">
        <v>1061</v>
      </c>
      <c r="P45" s="69">
        <f>P35*1.03</f>
        <v>7315.8072650000004</v>
      </c>
      <c r="R45">
        <v>1</v>
      </c>
      <c r="S45" s="6" t="s">
        <v>1170</v>
      </c>
      <c r="T45" s="69">
        <v>5768.9606249999997</v>
      </c>
      <c r="V45" t="s">
        <v>110</v>
      </c>
      <c r="W45" t="s">
        <v>1061</v>
      </c>
      <c r="X45" s="69">
        <f>X35*1.03</f>
        <v>7878.56167</v>
      </c>
      <c r="Z45" t="s">
        <v>110</v>
      </c>
      <c r="AA45" t="s">
        <v>1061</v>
      </c>
      <c r="AB45" s="69">
        <f>AB35*1.03</f>
        <v>8103.6634320000012</v>
      </c>
    </row>
    <row r="46" spans="4:28" x14ac:dyDescent="0.2">
      <c r="K46">
        <v>0</v>
      </c>
      <c r="L46" s="108">
        <v>46296</v>
      </c>
      <c r="M46" s="12">
        <v>71491</v>
      </c>
      <c r="N46">
        <v>0</v>
      </c>
      <c r="O46" t="s">
        <v>1061</v>
      </c>
      <c r="P46" s="69">
        <f t="shared" ref="P46:P51" si="4">M46/12</f>
        <v>5957.583333333333</v>
      </c>
      <c r="R46">
        <v>1</v>
      </c>
      <c r="S46" s="6" t="s">
        <v>1169</v>
      </c>
      <c r="T46" s="69">
        <v>5768.9606249999997</v>
      </c>
      <c r="V46">
        <v>0</v>
      </c>
      <c r="W46" t="s">
        <v>1061</v>
      </c>
      <c r="X46" s="69">
        <v>5957.583333333333</v>
      </c>
      <c r="Z46">
        <v>0</v>
      </c>
      <c r="AA46" t="s">
        <v>1061</v>
      </c>
      <c r="AB46" s="69">
        <v>5957.583333333333</v>
      </c>
    </row>
    <row r="47" spans="4:28" x14ac:dyDescent="0.2">
      <c r="K47">
        <v>1</v>
      </c>
      <c r="L47" s="108">
        <v>46296</v>
      </c>
      <c r="M47" s="12">
        <v>74137</v>
      </c>
      <c r="N47">
        <v>1</v>
      </c>
      <c r="O47" t="s">
        <v>1061</v>
      </c>
      <c r="P47" s="69">
        <f t="shared" si="4"/>
        <v>6178.083333333333</v>
      </c>
      <c r="R47">
        <v>2</v>
      </c>
      <c r="S47" s="6" t="s">
        <v>1170</v>
      </c>
      <c r="T47" s="69">
        <v>5982.3991874999992</v>
      </c>
      <c r="V47">
        <v>1</v>
      </c>
      <c r="W47" t="s">
        <v>1061</v>
      </c>
      <c r="X47" s="69">
        <v>6178.083333333333</v>
      </c>
      <c r="Z47">
        <v>1</v>
      </c>
      <c r="AA47" t="s">
        <v>1061</v>
      </c>
      <c r="AB47" s="69">
        <v>6178.083333333333</v>
      </c>
    </row>
    <row r="48" spans="4:28" x14ac:dyDescent="0.2">
      <c r="K48">
        <v>2</v>
      </c>
      <c r="L48" s="108">
        <v>46296</v>
      </c>
      <c r="M48" s="12">
        <v>76881</v>
      </c>
      <c r="N48">
        <v>2</v>
      </c>
      <c r="O48" t="s">
        <v>1061</v>
      </c>
      <c r="P48" s="69">
        <f t="shared" si="4"/>
        <v>6406.75</v>
      </c>
      <c r="R48">
        <v>2</v>
      </c>
      <c r="S48" s="6" t="s">
        <v>1169</v>
      </c>
      <c r="T48" s="69">
        <v>5982.3991874999992</v>
      </c>
      <c r="V48">
        <v>2</v>
      </c>
      <c r="W48" t="s">
        <v>1061</v>
      </c>
      <c r="X48" s="69">
        <v>6406.75</v>
      </c>
      <c r="Z48">
        <v>2</v>
      </c>
      <c r="AA48" t="s">
        <v>1061</v>
      </c>
      <c r="AB48" s="69">
        <v>6406.75</v>
      </c>
    </row>
    <row r="49" spans="5:28" x14ac:dyDescent="0.2">
      <c r="K49">
        <v>3</v>
      </c>
      <c r="L49" s="108">
        <v>46296</v>
      </c>
      <c r="M49" s="12">
        <v>79726</v>
      </c>
      <c r="N49">
        <v>3</v>
      </c>
      <c r="O49" t="s">
        <v>1061</v>
      </c>
      <c r="P49" s="69">
        <f t="shared" si="4"/>
        <v>6643.833333333333</v>
      </c>
      <c r="R49">
        <v>3</v>
      </c>
      <c r="S49" s="6" t="s">
        <v>1170</v>
      </c>
      <c r="T49" s="69">
        <v>6203.7188437499999</v>
      </c>
      <c r="V49">
        <v>3</v>
      </c>
      <c r="W49" t="s">
        <v>1061</v>
      </c>
      <c r="X49" s="69">
        <v>6643.833333333333</v>
      </c>
      <c r="Z49">
        <v>3</v>
      </c>
      <c r="AA49" t="s">
        <v>1061</v>
      </c>
      <c r="AB49" s="69">
        <v>6643.833333333333</v>
      </c>
    </row>
    <row r="50" spans="5:28" x14ac:dyDescent="0.2">
      <c r="K50">
        <v>4</v>
      </c>
      <c r="L50" s="108">
        <v>46296</v>
      </c>
      <c r="M50" s="12">
        <v>82676</v>
      </c>
      <c r="N50">
        <v>4</v>
      </c>
      <c r="O50" t="s">
        <v>1061</v>
      </c>
      <c r="P50" s="69">
        <f t="shared" si="4"/>
        <v>6889.666666666667</v>
      </c>
      <c r="R50">
        <v>3</v>
      </c>
      <c r="S50" s="6" t="s">
        <v>1169</v>
      </c>
      <c r="T50" s="69">
        <v>6203.7188437499999</v>
      </c>
      <c r="V50">
        <v>4</v>
      </c>
      <c r="W50" t="s">
        <v>1061</v>
      </c>
      <c r="X50" s="69">
        <v>6889.666666666667</v>
      </c>
      <c r="Z50">
        <v>4</v>
      </c>
      <c r="AA50" t="s">
        <v>1061</v>
      </c>
      <c r="AB50" s="69">
        <v>6889.666666666667</v>
      </c>
    </row>
    <row r="51" spans="5:28" x14ac:dyDescent="0.2">
      <c r="K51">
        <v>5</v>
      </c>
      <c r="L51" s="108">
        <v>46296</v>
      </c>
      <c r="M51" s="12">
        <v>85733</v>
      </c>
      <c r="N51">
        <v>5</v>
      </c>
      <c r="O51" t="s">
        <v>1061</v>
      </c>
      <c r="P51" s="69">
        <f t="shared" si="4"/>
        <v>7144.416666666667</v>
      </c>
      <c r="R51">
        <v>4</v>
      </c>
      <c r="S51" s="6" t="s">
        <v>1170</v>
      </c>
      <c r="T51" s="69">
        <v>6433.2904687500004</v>
      </c>
      <c r="V51">
        <v>5</v>
      </c>
      <c r="W51" t="s">
        <v>1061</v>
      </c>
      <c r="X51" s="69">
        <v>7144.416666666667</v>
      </c>
      <c r="Z51">
        <v>5</v>
      </c>
      <c r="AA51" t="s">
        <v>1061</v>
      </c>
      <c r="AB51" s="69">
        <v>7144.416666666667</v>
      </c>
    </row>
    <row r="52" spans="5:28" x14ac:dyDescent="0.2">
      <c r="E52" s="12"/>
      <c r="N52">
        <v>6</v>
      </c>
      <c r="O52" t="s">
        <v>1061</v>
      </c>
      <c r="P52" s="69">
        <f>P41*1.035</f>
        <v>7144.432499999999</v>
      </c>
      <c r="R52">
        <v>4</v>
      </c>
      <c r="S52" s="6" t="s">
        <v>1169</v>
      </c>
      <c r="T52" s="69">
        <v>6433.2904687500004</v>
      </c>
      <c r="V52">
        <v>6</v>
      </c>
      <c r="W52" t="s">
        <v>1061</v>
      </c>
      <c r="X52" s="69">
        <v>7144.432499999999</v>
      </c>
      <c r="Z52">
        <v>6</v>
      </c>
      <c r="AA52" t="s">
        <v>1061</v>
      </c>
      <c r="AB52" s="69">
        <v>7144.432499999999</v>
      </c>
    </row>
    <row r="53" spans="5:28" x14ac:dyDescent="0.2">
      <c r="E53" s="12"/>
      <c r="N53">
        <v>7</v>
      </c>
      <c r="O53" t="s">
        <v>1061</v>
      </c>
      <c r="P53" s="69">
        <v>7144.43</v>
      </c>
      <c r="R53">
        <v>5</v>
      </c>
      <c r="S53" s="6" t="s">
        <v>1170</v>
      </c>
      <c r="T53" s="69">
        <v>6671.2994999999983</v>
      </c>
      <c r="V53">
        <v>7</v>
      </c>
      <c r="W53" t="s">
        <v>1061</v>
      </c>
      <c r="X53" s="69">
        <v>7144.43</v>
      </c>
      <c r="Z53">
        <v>7</v>
      </c>
      <c r="AA53" t="s">
        <v>1061</v>
      </c>
      <c r="AB53" s="69">
        <v>7144.43</v>
      </c>
    </row>
    <row r="54" spans="5:28" x14ac:dyDescent="0.2">
      <c r="E54" s="12"/>
      <c r="N54">
        <v>8</v>
      </c>
      <c r="O54" t="s">
        <v>1061</v>
      </c>
      <c r="P54" s="69">
        <v>7144.43</v>
      </c>
      <c r="R54">
        <v>5</v>
      </c>
      <c r="S54" s="6" t="s">
        <v>1169</v>
      </c>
      <c r="T54" s="69">
        <v>6671.2994999999983</v>
      </c>
      <c r="V54">
        <v>8</v>
      </c>
      <c r="W54" t="s">
        <v>1061</v>
      </c>
      <c r="X54" s="69">
        <v>7144.43</v>
      </c>
      <c r="Z54">
        <v>8</v>
      </c>
      <c r="AA54" t="s">
        <v>1061</v>
      </c>
      <c r="AB54" s="69">
        <v>7144.43</v>
      </c>
    </row>
    <row r="55" spans="5:28" x14ac:dyDescent="0.2">
      <c r="N55">
        <v>9</v>
      </c>
      <c r="O55" t="s">
        <v>1061</v>
      </c>
      <c r="P55" s="69">
        <v>7144.43</v>
      </c>
      <c r="R55">
        <v>6</v>
      </c>
      <c r="S55" s="6" t="s">
        <v>1170</v>
      </c>
      <c r="T55" s="69">
        <v>6671.2994999999983</v>
      </c>
      <c r="V55">
        <v>9</v>
      </c>
      <c r="W55" t="s">
        <v>1061</v>
      </c>
      <c r="X55" s="69">
        <v>7144.43</v>
      </c>
      <c r="Z55">
        <v>9</v>
      </c>
      <c r="AA55" t="s">
        <v>1061</v>
      </c>
      <c r="AB55" s="69">
        <v>7144.43</v>
      </c>
    </row>
    <row r="56" spans="5:28" x14ac:dyDescent="0.2">
      <c r="N56" s="6" t="s">
        <v>110</v>
      </c>
      <c r="O56" s="6" t="s">
        <v>1062</v>
      </c>
      <c r="P56" s="69">
        <f>P45*1.03</f>
        <v>7535.2814829500003</v>
      </c>
      <c r="R56">
        <v>6</v>
      </c>
      <c r="S56" s="6" t="s">
        <v>1169</v>
      </c>
      <c r="T56" s="69">
        <v>6671.2994999999983</v>
      </c>
      <c r="V56" t="s">
        <v>110</v>
      </c>
      <c r="W56" t="s">
        <v>1062</v>
      </c>
      <c r="X56" s="69">
        <f>X45*1.03</f>
        <v>8114.9185201</v>
      </c>
      <c r="Z56" t="s">
        <v>110</v>
      </c>
      <c r="AA56" t="s">
        <v>1062</v>
      </c>
      <c r="AB56" s="69">
        <f>AB45*1.03</f>
        <v>8346.7733349600021</v>
      </c>
    </row>
    <row r="57" spans="5:28" x14ac:dyDescent="0.2">
      <c r="K57">
        <v>0</v>
      </c>
      <c r="L57" s="108">
        <v>46661</v>
      </c>
      <c r="M57" s="12">
        <f t="shared" ref="M57:M62" si="5">M46*1.03</f>
        <v>73635.73</v>
      </c>
      <c r="N57">
        <v>0</v>
      </c>
      <c r="O57" t="s">
        <v>1062</v>
      </c>
      <c r="P57" s="69">
        <f t="shared" ref="P57:P62" si="6">M57/12</f>
        <v>6136.310833333333</v>
      </c>
      <c r="R57">
        <v>7</v>
      </c>
      <c r="S57" s="6" t="s">
        <v>1170</v>
      </c>
      <c r="T57" s="69">
        <v>6671.2994999999983</v>
      </c>
      <c r="V57">
        <v>0</v>
      </c>
      <c r="W57" t="s">
        <v>1062</v>
      </c>
      <c r="X57" s="69">
        <v>6136.31</v>
      </c>
      <c r="Z57">
        <v>0</v>
      </c>
      <c r="AA57" t="s">
        <v>1062</v>
      </c>
      <c r="AB57" s="69">
        <v>6136.31</v>
      </c>
    </row>
    <row r="58" spans="5:28" x14ac:dyDescent="0.2">
      <c r="K58">
        <v>1</v>
      </c>
      <c r="L58" s="108">
        <v>46661</v>
      </c>
      <c r="M58" s="12">
        <f t="shared" si="5"/>
        <v>76361.11</v>
      </c>
      <c r="N58">
        <v>1</v>
      </c>
      <c r="O58" t="s">
        <v>1062</v>
      </c>
      <c r="P58" s="69">
        <f t="shared" si="6"/>
        <v>6363.4258333333337</v>
      </c>
      <c r="R58">
        <v>7</v>
      </c>
      <c r="S58" s="6" t="s">
        <v>1169</v>
      </c>
      <c r="T58" s="69">
        <v>6671.2994999999983</v>
      </c>
      <c r="V58">
        <v>1</v>
      </c>
      <c r="W58" t="s">
        <v>1062</v>
      </c>
      <c r="X58" s="69">
        <v>6363.43</v>
      </c>
      <c r="Z58">
        <v>1</v>
      </c>
      <c r="AA58" t="s">
        <v>1062</v>
      </c>
      <c r="AB58" s="69">
        <v>6363.43</v>
      </c>
    </row>
    <row r="59" spans="5:28" x14ac:dyDescent="0.2">
      <c r="K59">
        <v>2</v>
      </c>
      <c r="L59" s="108">
        <v>46661</v>
      </c>
      <c r="M59" s="12">
        <f t="shared" si="5"/>
        <v>79187.430000000008</v>
      </c>
      <c r="N59">
        <v>2</v>
      </c>
      <c r="O59" t="s">
        <v>1062</v>
      </c>
      <c r="P59" s="69">
        <f t="shared" si="6"/>
        <v>6598.9525000000003</v>
      </c>
      <c r="R59" t="s">
        <v>110</v>
      </c>
      <c r="S59" s="6" t="s">
        <v>1172</v>
      </c>
      <c r="T59" s="69">
        <f>T41*1.03</f>
        <v>0</v>
      </c>
      <c r="V59">
        <v>2</v>
      </c>
      <c r="W59" t="s">
        <v>1062</v>
      </c>
      <c r="X59" s="69">
        <v>6598.95</v>
      </c>
      <c r="Z59">
        <v>2</v>
      </c>
      <c r="AA59" t="s">
        <v>1062</v>
      </c>
      <c r="AB59" s="69">
        <v>6598.95</v>
      </c>
    </row>
    <row r="60" spans="5:28" x14ac:dyDescent="0.2">
      <c r="K60">
        <v>3</v>
      </c>
      <c r="L60" s="108">
        <v>46661</v>
      </c>
      <c r="M60" s="12">
        <f t="shared" si="5"/>
        <v>82117.78</v>
      </c>
      <c r="N60">
        <v>3</v>
      </c>
      <c r="O60" t="s">
        <v>1062</v>
      </c>
      <c r="P60" s="69">
        <f t="shared" si="6"/>
        <v>6843.1483333333335</v>
      </c>
      <c r="R60" t="s">
        <v>110</v>
      </c>
      <c r="S60" s="6" t="s">
        <v>1171</v>
      </c>
      <c r="T60" s="69">
        <f>T42*1.03</f>
        <v>0</v>
      </c>
      <c r="V60">
        <v>3</v>
      </c>
      <c r="W60" t="s">
        <v>1062</v>
      </c>
      <c r="X60" s="69">
        <v>6843.15</v>
      </c>
      <c r="Z60">
        <v>3</v>
      </c>
      <c r="AA60" t="s">
        <v>1062</v>
      </c>
      <c r="AB60" s="69">
        <v>6843.15</v>
      </c>
    </row>
    <row r="61" spans="5:28" x14ac:dyDescent="0.2">
      <c r="K61">
        <v>4</v>
      </c>
      <c r="L61" s="108">
        <v>46661</v>
      </c>
      <c r="M61" s="12">
        <f t="shared" si="5"/>
        <v>85156.28</v>
      </c>
      <c r="N61">
        <v>4</v>
      </c>
      <c r="O61" t="s">
        <v>1062</v>
      </c>
      <c r="P61" s="69">
        <f t="shared" si="6"/>
        <v>7096.3566666666666</v>
      </c>
      <c r="R61">
        <v>0</v>
      </c>
      <c r="S61" s="6" t="s">
        <v>1172</v>
      </c>
      <c r="T61" s="69">
        <v>5757.8343749999995</v>
      </c>
      <c r="V61">
        <v>4</v>
      </c>
      <c r="W61" t="s">
        <v>1062</v>
      </c>
      <c r="X61" s="69">
        <v>7096.36</v>
      </c>
      <c r="Z61">
        <v>4</v>
      </c>
      <c r="AA61" t="s">
        <v>1062</v>
      </c>
      <c r="AB61" s="69">
        <v>7096.36</v>
      </c>
    </row>
    <row r="62" spans="5:28" x14ac:dyDescent="0.2">
      <c r="K62">
        <v>5</v>
      </c>
      <c r="L62" s="108">
        <v>46661</v>
      </c>
      <c r="M62" s="12">
        <f t="shared" si="5"/>
        <v>88304.99</v>
      </c>
      <c r="N62">
        <v>5</v>
      </c>
      <c r="O62" t="s">
        <v>1062</v>
      </c>
      <c r="P62" s="69">
        <f t="shared" si="6"/>
        <v>7358.7491666666674</v>
      </c>
      <c r="R62">
        <v>0</v>
      </c>
      <c r="S62" s="6" t="s">
        <v>1171</v>
      </c>
      <c r="T62" s="69">
        <v>5757.8343749999995</v>
      </c>
      <c r="V62">
        <v>5</v>
      </c>
      <c r="W62" t="s">
        <v>1062</v>
      </c>
      <c r="X62" s="69">
        <v>7358.75</v>
      </c>
      <c r="Z62">
        <v>5</v>
      </c>
      <c r="AA62" t="s">
        <v>1062</v>
      </c>
      <c r="AB62" s="69">
        <v>7358.75</v>
      </c>
    </row>
    <row r="63" spans="5:28" x14ac:dyDescent="0.2">
      <c r="N63">
        <v>6</v>
      </c>
      <c r="O63" t="s">
        <v>1062</v>
      </c>
      <c r="P63" s="69">
        <v>7358.75</v>
      </c>
      <c r="R63">
        <v>1</v>
      </c>
      <c r="S63" s="6" t="s">
        <v>1172</v>
      </c>
      <c r="T63" s="69">
        <v>5970.8742468749988</v>
      </c>
      <c r="V63">
        <v>6</v>
      </c>
      <c r="W63" t="s">
        <v>1062</v>
      </c>
      <c r="X63" s="69">
        <v>7358.75</v>
      </c>
      <c r="Z63">
        <v>6</v>
      </c>
      <c r="AA63" t="s">
        <v>1062</v>
      </c>
      <c r="AB63" s="69">
        <v>7358.75</v>
      </c>
    </row>
    <row r="64" spans="5:28" x14ac:dyDescent="0.2">
      <c r="N64">
        <v>7</v>
      </c>
      <c r="O64" t="s">
        <v>1062</v>
      </c>
      <c r="P64" s="69">
        <v>7358.75</v>
      </c>
      <c r="R64">
        <v>1</v>
      </c>
      <c r="S64" s="6" t="s">
        <v>1171</v>
      </c>
      <c r="T64" s="69">
        <v>5970.8742468749988</v>
      </c>
      <c r="V64">
        <v>7</v>
      </c>
      <c r="W64" t="s">
        <v>1062</v>
      </c>
      <c r="X64" s="69">
        <v>7358.75</v>
      </c>
      <c r="Z64">
        <v>7</v>
      </c>
      <c r="AA64" t="s">
        <v>1062</v>
      </c>
      <c r="AB64" s="69">
        <v>7358.75</v>
      </c>
    </row>
    <row r="65" spans="14:28" x14ac:dyDescent="0.2">
      <c r="N65">
        <v>8</v>
      </c>
      <c r="O65" t="s">
        <v>1062</v>
      </c>
      <c r="P65" s="69">
        <v>7358.75</v>
      </c>
      <c r="R65">
        <v>2</v>
      </c>
      <c r="S65" s="6" t="s">
        <v>1172</v>
      </c>
      <c r="T65" s="69">
        <v>6191.7831590624992</v>
      </c>
      <c r="V65">
        <v>8</v>
      </c>
      <c r="W65" t="s">
        <v>1062</v>
      </c>
      <c r="X65" s="69">
        <v>7358.75</v>
      </c>
      <c r="Z65">
        <v>8</v>
      </c>
      <c r="AA65" t="s">
        <v>1062</v>
      </c>
      <c r="AB65" s="69">
        <v>7358.75</v>
      </c>
    </row>
    <row r="66" spans="14:28" x14ac:dyDescent="0.2">
      <c r="N66">
        <v>9</v>
      </c>
      <c r="O66" t="s">
        <v>1062</v>
      </c>
      <c r="P66" s="69">
        <v>7358.75</v>
      </c>
      <c r="R66">
        <v>2</v>
      </c>
      <c r="S66" s="6" t="s">
        <v>1171</v>
      </c>
      <c r="T66" s="69">
        <v>6191.7831590624992</v>
      </c>
      <c r="V66">
        <v>9</v>
      </c>
      <c r="W66" t="s">
        <v>1062</v>
      </c>
      <c r="X66" s="69">
        <v>7358.75</v>
      </c>
      <c r="Z66">
        <v>9</v>
      </c>
      <c r="AA66" t="s">
        <v>1062</v>
      </c>
      <c r="AB66" s="69">
        <v>7358.75</v>
      </c>
    </row>
    <row r="67" spans="14:28" x14ac:dyDescent="0.2">
      <c r="N67">
        <v>10</v>
      </c>
      <c r="O67" s="6" t="s">
        <v>1062</v>
      </c>
      <c r="P67" s="69">
        <v>7358.75</v>
      </c>
      <c r="R67">
        <v>3</v>
      </c>
      <c r="S67" s="6" t="s">
        <v>1172</v>
      </c>
      <c r="T67" s="69">
        <v>6420.8490032812488</v>
      </c>
      <c r="V67">
        <v>10</v>
      </c>
      <c r="W67" t="s">
        <v>1062</v>
      </c>
      <c r="X67" s="69">
        <v>7358.75</v>
      </c>
      <c r="Z67">
        <v>10</v>
      </c>
      <c r="AA67" t="s">
        <v>1062</v>
      </c>
      <c r="AB67" s="69">
        <v>7358.75</v>
      </c>
    </row>
    <row r="68" spans="14:28" x14ac:dyDescent="0.2">
      <c r="N68" t="s">
        <v>110</v>
      </c>
      <c r="O68" s="6" t="s">
        <v>1115</v>
      </c>
      <c r="P68">
        <f>P56*1.03</f>
        <v>7761.3399274385001</v>
      </c>
      <c r="R68">
        <v>3</v>
      </c>
      <c r="S68" s="6" t="s">
        <v>1171</v>
      </c>
      <c r="T68" s="69">
        <v>6420.8490032812488</v>
      </c>
      <c r="V68" t="s">
        <v>110</v>
      </c>
      <c r="W68" s="6" t="s">
        <v>1115</v>
      </c>
      <c r="X68" s="69">
        <f>X56*1.03</f>
        <v>8358.3660757030011</v>
      </c>
      <c r="Z68" t="s">
        <v>110</v>
      </c>
      <c r="AA68" s="6" t="s">
        <v>1115</v>
      </c>
      <c r="AB68">
        <f>AB56*1.03</f>
        <v>8597.1765350088026</v>
      </c>
    </row>
    <row r="69" spans="14:28" x14ac:dyDescent="0.2">
      <c r="N69">
        <v>0</v>
      </c>
      <c r="O69" s="6" t="s">
        <v>1115</v>
      </c>
      <c r="P69" s="69">
        <f>P57*1.03</f>
        <v>6320.4001583333329</v>
      </c>
      <c r="R69">
        <v>4</v>
      </c>
      <c r="S69" s="6" t="s">
        <v>1172</v>
      </c>
      <c r="T69" s="69">
        <v>6658.4556351562496</v>
      </c>
      <c r="V69">
        <v>0</v>
      </c>
      <c r="W69" s="6" t="s">
        <v>1115</v>
      </c>
      <c r="X69" s="69">
        <f>X57*1.03</f>
        <v>6320.3993000000009</v>
      </c>
      <c r="Z69">
        <v>0</v>
      </c>
      <c r="AA69" s="6" t="s">
        <v>1115</v>
      </c>
      <c r="AB69" s="69">
        <f>AB57*1.03</f>
        <v>6320.3993000000009</v>
      </c>
    </row>
    <row r="70" spans="14:28" x14ac:dyDescent="0.2">
      <c r="N70">
        <v>1</v>
      </c>
      <c r="O70" s="6" t="s">
        <v>1115</v>
      </c>
      <c r="P70" s="69">
        <f t="shared" ref="P70:P79" si="7">P58*1.03</f>
        <v>6554.3286083333342</v>
      </c>
      <c r="R70">
        <v>4</v>
      </c>
      <c r="S70" s="6" t="s">
        <v>1171</v>
      </c>
      <c r="T70" s="69">
        <v>6658.4556351562496</v>
      </c>
      <c r="V70">
        <v>1</v>
      </c>
      <c r="W70" s="6" t="s">
        <v>1115</v>
      </c>
      <c r="X70" s="69">
        <f t="shared" ref="X70:X79" si="8">X58*1.03</f>
        <v>6554.3329000000003</v>
      </c>
      <c r="Z70">
        <v>1</v>
      </c>
      <c r="AA70" s="6" t="s">
        <v>1115</v>
      </c>
      <c r="AB70" s="69">
        <f t="shared" ref="AB70:AB79" si="9">AB58*1.03</f>
        <v>6554.3329000000003</v>
      </c>
    </row>
    <row r="71" spans="14:28" x14ac:dyDescent="0.2">
      <c r="N71">
        <v>2</v>
      </c>
      <c r="O71" s="6" t="s">
        <v>1115</v>
      </c>
      <c r="P71" s="69">
        <f t="shared" si="7"/>
        <v>6796.9210750000002</v>
      </c>
      <c r="R71">
        <v>5</v>
      </c>
      <c r="S71" s="6" t="s">
        <v>1172</v>
      </c>
      <c r="T71" s="69">
        <v>6904.7949824999987</v>
      </c>
      <c r="V71">
        <v>2</v>
      </c>
      <c r="W71" s="6" t="s">
        <v>1115</v>
      </c>
      <c r="X71" s="69">
        <f t="shared" si="8"/>
        <v>6796.9184999999998</v>
      </c>
      <c r="Z71">
        <v>2</v>
      </c>
      <c r="AA71" s="6" t="s">
        <v>1115</v>
      </c>
      <c r="AB71" s="69">
        <f t="shared" si="9"/>
        <v>6796.9184999999998</v>
      </c>
    </row>
    <row r="72" spans="14:28" x14ac:dyDescent="0.2">
      <c r="N72">
        <v>3</v>
      </c>
      <c r="O72" s="6" t="s">
        <v>1115</v>
      </c>
      <c r="P72" s="69">
        <f t="shared" si="7"/>
        <v>7048.4427833333339</v>
      </c>
      <c r="R72">
        <v>5</v>
      </c>
      <c r="S72" s="6" t="s">
        <v>1171</v>
      </c>
      <c r="T72" s="69">
        <v>6904.7949824999987</v>
      </c>
      <c r="V72">
        <v>3</v>
      </c>
      <c r="W72" s="6" t="s">
        <v>1115</v>
      </c>
      <c r="X72" s="69">
        <f t="shared" si="8"/>
        <v>7048.4444999999996</v>
      </c>
      <c r="Z72">
        <v>3</v>
      </c>
      <c r="AA72" s="6" t="s">
        <v>1115</v>
      </c>
      <c r="AB72" s="69">
        <f t="shared" si="9"/>
        <v>7048.4444999999996</v>
      </c>
    </row>
    <row r="73" spans="14:28" x14ac:dyDescent="0.2">
      <c r="N73">
        <v>4</v>
      </c>
      <c r="O73" s="6" t="s">
        <v>1115</v>
      </c>
      <c r="P73" s="69">
        <f t="shared" si="7"/>
        <v>7309.2473666666665</v>
      </c>
      <c r="R73">
        <v>6</v>
      </c>
      <c r="S73" s="6" t="s">
        <v>1172</v>
      </c>
      <c r="T73" s="69">
        <v>6904.7949824999987</v>
      </c>
      <c r="V73">
        <v>4</v>
      </c>
      <c r="W73" s="6" t="s">
        <v>1115</v>
      </c>
      <c r="X73" s="69">
        <f t="shared" si="8"/>
        <v>7309.2507999999998</v>
      </c>
      <c r="Z73">
        <v>4</v>
      </c>
      <c r="AA73" s="6" t="s">
        <v>1115</v>
      </c>
      <c r="AB73" s="69">
        <f t="shared" si="9"/>
        <v>7309.2507999999998</v>
      </c>
    </row>
    <row r="74" spans="14:28" x14ac:dyDescent="0.2">
      <c r="N74">
        <v>5</v>
      </c>
      <c r="O74" s="6" t="s">
        <v>1115</v>
      </c>
      <c r="P74" s="69">
        <f t="shared" si="7"/>
        <v>7579.5116416666679</v>
      </c>
      <c r="R74">
        <v>6</v>
      </c>
      <c r="S74" s="6" t="s">
        <v>1171</v>
      </c>
      <c r="T74" s="69">
        <v>6904.7949824999987</v>
      </c>
      <c r="V74">
        <v>5</v>
      </c>
      <c r="W74" s="6" t="s">
        <v>1115</v>
      </c>
      <c r="X74" s="69">
        <f t="shared" si="8"/>
        <v>7579.5124999999998</v>
      </c>
      <c r="Z74">
        <v>5</v>
      </c>
      <c r="AA74" s="6" t="s">
        <v>1115</v>
      </c>
      <c r="AB74" s="69">
        <f t="shared" si="9"/>
        <v>7579.5124999999998</v>
      </c>
    </row>
    <row r="75" spans="14:28" x14ac:dyDescent="0.2">
      <c r="N75">
        <v>6</v>
      </c>
      <c r="O75" s="6" t="s">
        <v>1115</v>
      </c>
      <c r="P75" s="69">
        <f t="shared" si="7"/>
        <v>7579.5124999999998</v>
      </c>
      <c r="R75">
        <v>7</v>
      </c>
      <c r="S75" s="6" t="s">
        <v>1172</v>
      </c>
      <c r="T75" s="69">
        <v>6904.7949824999987</v>
      </c>
      <c r="V75">
        <v>6</v>
      </c>
      <c r="W75" s="6" t="s">
        <v>1115</v>
      </c>
      <c r="X75" s="69">
        <f t="shared" si="8"/>
        <v>7579.5124999999998</v>
      </c>
      <c r="Z75">
        <v>6</v>
      </c>
      <c r="AA75" s="6" t="s">
        <v>1115</v>
      </c>
      <c r="AB75" s="69">
        <f t="shared" si="9"/>
        <v>7579.5124999999998</v>
      </c>
    </row>
    <row r="76" spans="14:28" x14ac:dyDescent="0.2">
      <c r="N76">
        <v>7</v>
      </c>
      <c r="O76" s="6" t="s">
        <v>1115</v>
      </c>
      <c r="P76" s="69">
        <f t="shared" si="7"/>
        <v>7579.5124999999998</v>
      </c>
      <c r="R76">
        <v>7</v>
      </c>
      <c r="S76" s="6" t="s">
        <v>1171</v>
      </c>
      <c r="T76" s="69">
        <v>6904.7949824999987</v>
      </c>
      <c r="V76">
        <v>7</v>
      </c>
      <c r="W76" s="6" t="s">
        <v>1115</v>
      </c>
      <c r="X76" s="69">
        <f t="shared" si="8"/>
        <v>7579.5124999999998</v>
      </c>
      <c r="Z76">
        <v>7</v>
      </c>
      <c r="AA76" s="6" t="s">
        <v>1115</v>
      </c>
      <c r="AB76" s="69">
        <f t="shared" si="9"/>
        <v>7579.5124999999998</v>
      </c>
    </row>
    <row r="77" spans="14:28" x14ac:dyDescent="0.2">
      <c r="N77">
        <v>8</v>
      </c>
      <c r="O77" s="6" t="s">
        <v>1115</v>
      </c>
      <c r="P77" s="69">
        <f t="shared" si="7"/>
        <v>7579.5124999999998</v>
      </c>
      <c r="R77">
        <v>8</v>
      </c>
      <c r="S77" s="6" t="s">
        <v>1172</v>
      </c>
      <c r="T77" s="69">
        <v>6904.7949824999987</v>
      </c>
      <c r="V77">
        <v>8</v>
      </c>
      <c r="W77" s="6" t="s">
        <v>1115</v>
      </c>
      <c r="X77" s="69">
        <f t="shared" si="8"/>
        <v>7579.5124999999998</v>
      </c>
      <c r="Z77">
        <v>8</v>
      </c>
      <c r="AA77" s="6" t="s">
        <v>1115</v>
      </c>
      <c r="AB77" s="69">
        <f t="shared" si="9"/>
        <v>7579.5124999999998</v>
      </c>
    </row>
    <row r="78" spans="14:28" x14ac:dyDescent="0.2">
      <c r="N78">
        <v>9</v>
      </c>
      <c r="O78" s="6" t="s">
        <v>1115</v>
      </c>
      <c r="P78" s="69">
        <f t="shared" si="7"/>
        <v>7579.5124999999998</v>
      </c>
      <c r="R78">
        <v>8</v>
      </c>
      <c r="S78" s="6" t="s">
        <v>1171</v>
      </c>
      <c r="T78" s="69">
        <v>6904.7949824999987</v>
      </c>
      <c r="V78">
        <v>9</v>
      </c>
      <c r="W78" s="6" t="s">
        <v>1115</v>
      </c>
      <c r="X78" s="69">
        <f t="shared" si="8"/>
        <v>7579.5124999999998</v>
      </c>
      <c r="Z78">
        <v>9</v>
      </c>
      <c r="AA78" s="6" t="s">
        <v>1115</v>
      </c>
      <c r="AB78" s="69">
        <f t="shared" si="9"/>
        <v>7579.5124999999998</v>
      </c>
    </row>
    <row r="79" spans="14:28" x14ac:dyDescent="0.2">
      <c r="N79">
        <v>10</v>
      </c>
      <c r="O79" s="6" t="s">
        <v>1115</v>
      </c>
      <c r="P79" s="69">
        <f t="shared" si="7"/>
        <v>7579.5124999999998</v>
      </c>
      <c r="R79" t="s">
        <v>110</v>
      </c>
      <c r="S79" s="6" t="s">
        <v>1174</v>
      </c>
      <c r="T79" s="69">
        <f>T59*1.03</f>
        <v>0</v>
      </c>
      <c r="V79">
        <v>10</v>
      </c>
      <c r="W79" s="6" t="s">
        <v>1115</v>
      </c>
      <c r="X79" s="69">
        <f t="shared" si="8"/>
        <v>7579.5124999999998</v>
      </c>
      <c r="Z79">
        <v>10</v>
      </c>
      <c r="AA79" s="6" t="s">
        <v>1115</v>
      </c>
      <c r="AB79" s="69">
        <f t="shared" si="9"/>
        <v>7579.5124999999998</v>
      </c>
    </row>
    <row r="80" spans="14:28" x14ac:dyDescent="0.2">
      <c r="N80">
        <v>11</v>
      </c>
      <c r="O80" s="6" t="s">
        <v>1115</v>
      </c>
      <c r="P80" s="69">
        <v>7579.5129999999999</v>
      </c>
      <c r="R80" t="s">
        <v>110</v>
      </c>
      <c r="S80" s="6" t="s">
        <v>1173</v>
      </c>
      <c r="T80" s="69">
        <f>T60*1.03</f>
        <v>0</v>
      </c>
      <c r="V80">
        <v>11</v>
      </c>
      <c r="W80" s="6" t="s">
        <v>1115</v>
      </c>
      <c r="X80" s="69">
        <v>7579.5129999999999</v>
      </c>
      <c r="Z80">
        <v>11</v>
      </c>
      <c r="AA80" s="6" t="s">
        <v>1115</v>
      </c>
      <c r="AB80" s="69">
        <v>7579.5129999999999</v>
      </c>
    </row>
    <row r="81" spans="14:28" x14ac:dyDescent="0.2">
      <c r="N81" t="s">
        <v>110</v>
      </c>
      <c r="O81" s="6" t="s">
        <v>1132</v>
      </c>
      <c r="P81">
        <f>P68*1.03</f>
        <v>7994.1801252616551</v>
      </c>
      <c r="R81">
        <v>0</v>
      </c>
      <c r="S81" s="6" t="s">
        <v>1174</v>
      </c>
      <c r="T81" s="69">
        <v>5959.3585781249994</v>
      </c>
      <c r="V81" t="s">
        <v>110</v>
      </c>
      <c r="W81" s="6" t="s">
        <v>1132</v>
      </c>
      <c r="X81" s="69">
        <f>X68*1.03</f>
        <v>8609.1170579740919</v>
      </c>
      <c r="Z81" t="s">
        <v>110</v>
      </c>
      <c r="AA81" s="6" t="s">
        <v>1132</v>
      </c>
      <c r="AB81" s="69">
        <f>AB68*1.03</f>
        <v>8855.0918310590678</v>
      </c>
    </row>
    <row r="82" spans="14:28" x14ac:dyDescent="0.2">
      <c r="N82">
        <v>0</v>
      </c>
      <c r="O82" s="6" t="s">
        <v>1132</v>
      </c>
      <c r="P82">
        <v>6510.01</v>
      </c>
      <c r="R82">
        <v>0</v>
      </c>
      <c r="S82" s="6" t="s">
        <v>1173</v>
      </c>
      <c r="T82" s="69">
        <v>5959.3585781249994</v>
      </c>
      <c r="V82">
        <v>0</v>
      </c>
      <c r="W82" s="6" t="s">
        <v>1132</v>
      </c>
      <c r="X82">
        <v>6510.01</v>
      </c>
      <c r="Z82">
        <v>0</v>
      </c>
      <c r="AA82" s="6" t="s">
        <v>1132</v>
      </c>
      <c r="AB82">
        <v>6510.01</v>
      </c>
    </row>
    <row r="83" spans="14:28" x14ac:dyDescent="0.2">
      <c r="N83">
        <v>1</v>
      </c>
      <c r="O83" s="6" t="s">
        <v>1132</v>
      </c>
      <c r="P83">
        <v>6750.96</v>
      </c>
      <c r="R83">
        <v>1</v>
      </c>
      <c r="S83" s="6" t="s">
        <v>1174</v>
      </c>
      <c r="T83" s="69">
        <v>6179.8548455156233</v>
      </c>
      <c r="V83">
        <v>1</v>
      </c>
      <c r="W83" s="6" t="s">
        <v>1132</v>
      </c>
      <c r="X83">
        <v>6750.96</v>
      </c>
      <c r="Z83">
        <v>1</v>
      </c>
      <c r="AA83" s="6" t="s">
        <v>1132</v>
      </c>
      <c r="AB83">
        <v>6750.96</v>
      </c>
    </row>
    <row r="84" spans="14:28" x14ac:dyDescent="0.2">
      <c r="N84">
        <v>2</v>
      </c>
      <c r="O84" s="6" t="s">
        <v>1132</v>
      </c>
      <c r="P84">
        <v>7000.83</v>
      </c>
      <c r="R84">
        <v>1</v>
      </c>
      <c r="S84" s="6" t="s">
        <v>1173</v>
      </c>
      <c r="T84" s="69">
        <v>6179.8548455156233</v>
      </c>
      <c r="V84">
        <v>2</v>
      </c>
      <c r="W84" s="6" t="s">
        <v>1132</v>
      </c>
      <c r="X84">
        <v>7000.83</v>
      </c>
      <c r="Z84">
        <v>2</v>
      </c>
      <c r="AA84" s="6" t="s">
        <v>1132</v>
      </c>
      <c r="AB84">
        <v>7000.83</v>
      </c>
    </row>
    <row r="85" spans="14:28" x14ac:dyDescent="0.2">
      <c r="N85">
        <v>3</v>
      </c>
      <c r="O85" s="6" t="s">
        <v>1132</v>
      </c>
      <c r="P85">
        <v>7259.9</v>
      </c>
      <c r="R85">
        <v>2</v>
      </c>
      <c r="S85" s="6" t="s">
        <v>1174</v>
      </c>
      <c r="T85" s="69">
        <v>6408.4955696296856</v>
      </c>
      <c r="V85">
        <v>3</v>
      </c>
      <c r="W85" s="6" t="s">
        <v>1132</v>
      </c>
      <c r="X85">
        <v>7259.9</v>
      </c>
      <c r="Z85">
        <v>3</v>
      </c>
      <c r="AA85" s="6" t="s">
        <v>1132</v>
      </c>
      <c r="AB85">
        <v>7259.9</v>
      </c>
    </row>
    <row r="86" spans="14:28" x14ac:dyDescent="0.2">
      <c r="N86">
        <v>4</v>
      </c>
      <c r="O86" s="6" t="s">
        <v>1132</v>
      </c>
      <c r="P86">
        <v>7528.52</v>
      </c>
      <c r="R86">
        <v>2</v>
      </c>
      <c r="S86" s="6" t="s">
        <v>1173</v>
      </c>
      <c r="T86" s="69">
        <v>6408.4955696296856</v>
      </c>
      <c r="V86">
        <v>4</v>
      </c>
      <c r="W86" s="6" t="s">
        <v>1132</v>
      </c>
      <c r="X86">
        <v>7528.52</v>
      </c>
      <c r="Z86">
        <v>4</v>
      </c>
      <c r="AA86" s="6" t="s">
        <v>1132</v>
      </c>
      <c r="AB86">
        <v>7528.52</v>
      </c>
    </row>
    <row r="87" spans="14:28" x14ac:dyDescent="0.2">
      <c r="N87">
        <v>5</v>
      </c>
      <c r="O87" s="6" t="s">
        <v>1132</v>
      </c>
      <c r="P87">
        <v>7806.9</v>
      </c>
      <c r="R87">
        <v>3</v>
      </c>
      <c r="S87" s="6" t="s">
        <v>1174</v>
      </c>
      <c r="T87" s="69">
        <v>6645.5787183960929</v>
      </c>
      <c r="V87">
        <v>5</v>
      </c>
      <c r="W87" s="6" t="s">
        <v>1132</v>
      </c>
      <c r="X87">
        <v>7806.9</v>
      </c>
      <c r="Z87">
        <v>5</v>
      </c>
      <c r="AA87" s="6" t="s">
        <v>1132</v>
      </c>
      <c r="AB87">
        <v>7806.9</v>
      </c>
    </row>
    <row r="88" spans="14:28" x14ac:dyDescent="0.2">
      <c r="N88">
        <v>6</v>
      </c>
      <c r="O88" s="6" t="s">
        <v>1132</v>
      </c>
      <c r="P88">
        <v>7806.9</v>
      </c>
      <c r="R88">
        <v>3</v>
      </c>
      <c r="S88" s="6" t="s">
        <v>1173</v>
      </c>
      <c r="T88" s="69">
        <v>6645.5787183960929</v>
      </c>
      <c r="V88">
        <v>6</v>
      </c>
      <c r="W88" s="6" t="s">
        <v>1132</v>
      </c>
      <c r="X88">
        <v>7806.9</v>
      </c>
      <c r="Z88">
        <v>6</v>
      </c>
      <c r="AA88" s="6" t="s">
        <v>1132</v>
      </c>
      <c r="AB88">
        <v>7806.9</v>
      </c>
    </row>
    <row r="89" spans="14:28" x14ac:dyDescent="0.2">
      <c r="N89">
        <v>7</v>
      </c>
      <c r="O89" s="6" t="s">
        <v>1132</v>
      </c>
      <c r="P89">
        <v>7806.9</v>
      </c>
      <c r="R89">
        <v>4</v>
      </c>
      <c r="S89" s="6" t="s">
        <v>1174</v>
      </c>
      <c r="T89" s="69">
        <v>6891.5015823867179</v>
      </c>
      <c r="V89">
        <v>7</v>
      </c>
      <c r="W89" s="6" t="s">
        <v>1132</v>
      </c>
      <c r="X89">
        <v>7806.9</v>
      </c>
      <c r="Z89">
        <v>7</v>
      </c>
      <c r="AA89" s="6" t="s">
        <v>1132</v>
      </c>
      <c r="AB89">
        <v>7806.9</v>
      </c>
    </row>
    <row r="90" spans="14:28" x14ac:dyDescent="0.2">
      <c r="N90">
        <v>8</v>
      </c>
      <c r="O90" s="6" t="s">
        <v>1132</v>
      </c>
      <c r="P90">
        <v>7806.9</v>
      </c>
      <c r="R90">
        <v>4</v>
      </c>
      <c r="S90" s="6" t="s">
        <v>1173</v>
      </c>
      <c r="T90" s="69">
        <v>6891.5015823867179</v>
      </c>
      <c r="V90">
        <v>8</v>
      </c>
      <c r="W90" s="6" t="s">
        <v>1132</v>
      </c>
      <c r="X90">
        <v>7806.9</v>
      </c>
      <c r="Z90">
        <v>8</v>
      </c>
      <c r="AA90" s="6" t="s">
        <v>1132</v>
      </c>
      <c r="AB90">
        <v>7806.9</v>
      </c>
    </row>
    <row r="91" spans="14:28" x14ac:dyDescent="0.2">
      <c r="N91">
        <v>9</v>
      </c>
      <c r="O91" s="6" t="s">
        <v>1132</v>
      </c>
      <c r="P91">
        <v>7806.9</v>
      </c>
      <c r="R91">
        <v>5</v>
      </c>
      <c r="S91" s="6" t="s">
        <v>1174</v>
      </c>
      <c r="T91" s="69">
        <v>7146.4628068874981</v>
      </c>
      <c r="V91">
        <v>9</v>
      </c>
      <c r="W91" s="6" t="s">
        <v>1132</v>
      </c>
      <c r="X91">
        <v>7806.9</v>
      </c>
      <c r="Z91">
        <v>9</v>
      </c>
      <c r="AA91" s="6" t="s">
        <v>1132</v>
      </c>
      <c r="AB91">
        <v>7806.9</v>
      </c>
    </row>
    <row r="92" spans="14:28" x14ac:dyDescent="0.2">
      <c r="N92">
        <v>10</v>
      </c>
      <c r="O92" s="6" t="s">
        <v>1132</v>
      </c>
      <c r="P92">
        <v>7806.9</v>
      </c>
      <c r="R92">
        <v>5</v>
      </c>
      <c r="S92" s="6" t="s">
        <v>1173</v>
      </c>
      <c r="T92" s="69">
        <v>7146.4628068874981</v>
      </c>
      <c r="V92">
        <v>10</v>
      </c>
      <c r="W92" s="6" t="s">
        <v>1132</v>
      </c>
      <c r="X92">
        <v>7806.9</v>
      </c>
      <c r="Z92">
        <v>10</v>
      </c>
      <c r="AA92" s="6" t="s">
        <v>1132</v>
      </c>
      <c r="AB92">
        <v>7806.9</v>
      </c>
    </row>
    <row r="93" spans="14:28" x14ac:dyDescent="0.2">
      <c r="N93">
        <v>11</v>
      </c>
      <c r="O93" s="6" t="s">
        <v>1132</v>
      </c>
      <c r="P93">
        <v>7806.9</v>
      </c>
      <c r="R93">
        <v>6</v>
      </c>
      <c r="S93" s="6" t="s">
        <v>1174</v>
      </c>
      <c r="T93" s="69">
        <v>7146.4628068874981</v>
      </c>
      <c r="V93">
        <v>11</v>
      </c>
      <c r="W93" s="6" t="s">
        <v>1132</v>
      </c>
      <c r="X93">
        <v>7806.9</v>
      </c>
      <c r="Z93">
        <v>11</v>
      </c>
      <c r="AA93" s="6" t="s">
        <v>1132</v>
      </c>
      <c r="AB93">
        <v>7806.9</v>
      </c>
    </row>
    <row r="94" spans="14:28" x14ac:dyDescent="0.2">
      <c r="N94">
        <v>12</v>
      </c>
      <c r="O94" s="6" t="s">
        <v>1132</v>
      </c>
      <c r="P94">
        <v>7806.9</v>
      </c>
      <c r="R94">
        <v>6</v>
      </c>
      <c r="S94" s="6" t="s">
        <v>1173</v>
      </c>
      <c r="T94" s="69">
        <v>7146.4628068874981</v>
      </c>
      <c r="V94">
        <v>12</v>
      </c>
      <c r="W94" s="6" t="s">
        <v>1132</v>
      </c>
      <c r="X94">
        <v>7806.9</v>
      </c>
      <c r="Z94">
        <v>12</v>
      </c>
      <c r="AA94" s="6" t="s">
        <v>1132</v>
      </c>
      <c r="AB94">
        <v>7806.9</v>
      </c>
    </row>
    <row r="95" spans="14:28" x14ac:dyDescent="0.2">
      <c r="N95" t="s">
        <v>110</v>
      </c>
      <c r="O95" s="6" t="s">
        <v>1264</v>
      </c>
      <c r="P95" s="110">
        <f t="shared" ref="P95:P101" si="10">P81*1.03</f>
        <v>8234.005529019505</v>
      </c>
      <c r="R95">
        <v>7</v>
      </c>
      <c r="S95" s="6" t="s">
        <v>1174</v>
      </c>
      <c r="T95" s="69">
        <v>7146.4628068874981</v>
      </c>
      <c r="V95" t="s">
        <v>110</v>
      </c>
      <c r="W95" s="6" t="s">
        <v>1264</v>
      </c>
      <c r="X95" s="69">
        <f t="shared" ref="X95:X108" si="11">X81*1.03</f>
        <v>8867.3905697133141</v>
      </c>
      <c r="Z95" t="s">
        <v>110</v>
      </c>
      <c r="AA95" s="6" t="s">
        <v>1264</v>
      </c>
      <c r="AB95" s="110">
        <f t="shared" ref="AB95:AB108" si="12">AB81*1.03</f>
        <v>9120.7445859908403</v>
      </c>
    </row>
    <row r="96" spans="14:28" x14ac:dyDescent="0.2">
      <c r="N96">
        <v>0</v>
      </c>
      <c r="O96" s="6" t="s">
        <v>1264</v>
      </c>
      <c r="P96" s="110">
        <f t="shared" si="10"/>
        <v>6705.3103000000001</v>
      </c>
      <c r="R96">
        <v>7</v>
      </c>
      <c r="S96" s="6" t="s">
        <v>1173</v>
      </c>
      <c r="T96" s="69">
        <v>7146.4628068874981</v>
      </c>
      <c r="V96">
        <v>0</v>
      </c>
      <c r="W96" s="6" t="s">
        <v>1264</v>
      </c>
      <c r="X96" s="69">
        <f t="shared" si="11"/>
        <v>6705.3103000000001</v>
      </c>
      <c r="Z96">
        <v>0</v>
      </c>
      <c r="AA96" s="6" t="s">
        <v>1264</v>
      </c>
      <c r="AB96" s="110">
        <f t="shared" si="12"/>
        <v>6705.3103000000001</v>
      </c>
    </row>
    <row r="97" spans="6:28" x14ac:dyDescent="0.2">
      <c r="N97">
        <v>1</v>
      </c>
      <c r="O97" s="6" t="s">
        <v>1264</v>
      </c>
      <c r="P97" s="110">
        <f t="shared" si="10"/>
        <v>6953.4888000000001</v>
      </c>
      <c r="R97">
        <v>8</v>
      </c>
      <c r="S97" s="6" t="s">
        <v>1174</v>
      </c>
      <c r="T97" s="69">
        <v>7146.4628068874981</v>
      </c>
      <c r="V97">
        <v>1</v>
      </c>
      <c r="W97" s="6" t="s">
        <v>1264</v>
      </c>
      <c r="X97" s="69">
        <f t="shared" si="11"/>
        <v>6953.4888000000001</v>
      </c>
      <c r="Z97">
        <v>1</v>
      </c>
      <c r="AA97" s="6" t="s">
        <v>1264</v>
      </c>
      <c r="AB97" s="110">
        <f t="shared" si="12"/>
        <v>6953.4888000000001</v>
      </c>
    </row>
    <row r="98" spans="6:28" x14ac:dyDescent="0.2">
      <c r="N98">
        <v>2</v>
      </c>
      <c r="O98" s="6" t="s">
        <v>1264</v>
      </c>
      <c r="P98" s="110">
        <f t="shared" si="10"/>
        <v>7210.8549000000003</v>
      </c>
      <c r="R98">
        <v>8</v>
      </c>
      <c r="S98" s="6" t="s">
        <v>1173</v>
      </c>
      <c r="T98" s="69">
        <v>7146.4628068874981</v>
      </c>
      <c r="V98">
        <v>2</v>
      </c>
      <c r="W98" s="6" t="s">
        <v>1264</v>
      </c>
      <c r="X98" s="69">
        <f t="shared" si="11"/>
        <v>7210.8549000000003</v>
      </c>
      <c r="Z98">
        <v>2</v>
      </c>
      <c r="AA98" s="6" t="s">
        <v>1264</v>
      </c>
      <c r="AB98" s="110">
        <f t="shared" si="12"/>
        <v>7210.8549000000003</v>
      </c>
    </row>
    <row r="99" spans="6:28" x14ac:dyDescent="0.2">
      <c r="N99">
        <v>3</v>
      </c>
      <c r="O99" s="6" t="s">
        <v>1264</v>
      </c>
      <c r="P99" s="110">
        <f t="shared" si="10"/>
        <v>7477.6970000000001</v>
      </c>
      <c r="R99">
        <v>9</v>
      </c>
      <c r="S99" s="6" t="s">
        <v>1174</v>
      </c>
      <c r="T99" s="69">
        <v>7146.4628068874981</v>
      </c>
      <c r="V99">
        <v>3</v>
      </c>
      <c r="W99" s="6" t="s">
        <v>1264</v>
      </c>
      <c r="X99" s="69">
        <f t="shared" si="11"/>
        <v>7477.6970000000001</v>
      </c>
      <c r="Z99">
        <v>3</v>
      </c>
      <c r="AA99" s="6" t="s">
        <v>1264</v>
      </c>
      <c r="AB99" s="110">
        <f t="shared" si="12"/>
        <v>7477.6970000000001</v>
      </c>
    </row>
    <row r="100" spans="6:28" x14ac:dyDescent="0.2">
      <c r="N100">
        <v>4</v>
      </c>
      <c r="O100" s="6" t="s">
        <v>1264</v>
      </c>
      <c r="P100" s="110">
        <f t="shared" si="10"/>
        <v>7754.3756000000003</v>
      </c>
      <c r="R100">
        <v>9</v>
      </c>
      <c r="S100" s="6" t="s">
        <v>1173</v>
      </c>
      <c r="T100" s="69">
        <v>7146.4628068874981</v>
      </c>
      <c r="V100">
        <v>4</v>
      </c>
      <c r="W100" s="6" t="s">
        <v>1264</v>
      </c>
      <c r="X100" s="69">
        <f t="shared" si="11"/>
        <v>7754.3756000000003</v>
      </c>
      <c r="Z100">
        <v>4</v>
      </c>
      <c r="AA100" s="6" t="s">
        <v>1264</v>
      </c>
      <c r="AB100" s="110">
        <f t="shared" si="12"/>
        <v>7754.3756000000003</v>
      </c>
    </row>
    <row r="101" spans="6:28" x14ac:dyDescent="0.2">
      <c r="N101">
        <v>5</v>
      </c>
      <c r="O101" s="6" t="s">
        <v>1264</v>
      </c>
      <c r="P101" s="110">
        <f t="shared" si="10"/>
        <v>8041.107</v>
      </c>
      <c r="R101" t="s">
        <v>110</v>
      </c>
      <c r="S101" s="6" t="s">
        <v>1176</v>
      </c>
      <c r="T101" s="69">
        <f>T79*1.03</f>
        <v>0</v>
      </c>
      <c r="V101">
        <v>5</v>
      </c>
      <c r="W101" s="6" t="s">
        <v>1264</v>
      </c>
      <c r="X101" s="69">
        <f t="shared" si="11"/>
        <v>8041.107</v>
      </c>
      <c r="Z101">
        <v>5</v>
      </c>
      <c r="AA101" s="6" t="s">
        <v>1264</v>
      </c>
      <c r="AB101" s="110">
        <f t="shared" si="12"/>
        <v>8041.107</v>
      </c>
    </row>
    <row r="102" spans="6:28" x14ac:dyDescent="0.2">
      <c r="N102">
        <v>6</v>
      </c>
      <c r="O102" s="6" t="s">
        <v>1264</v>
      </c>
      <c r="P102" s="110">
        <f t="shared" ref="P102:P108" si="13">P88*1.03</f>
        <v>8041.107</v>
      </c>
      <c r="R102" t="s">
        <v>110</v>
      </c>
      <c r="S102" s="6" t="s">
        <v>1175</v>
      </c>
      <c r="T102" s="69">
        <f>T80*1.03</f>
        <v>0</v>
      </c>
      <c r="V102">
        <v>6</v>
      </c>
      <c r="W102" s="6" t="s">
        <v>1264</v>
      </c>
      <c r="X102" s="69">
        <f t="shared" si="11"/>
        <v>8041.107</v>
      </c>
      <c r="Z102">
        <v>6</v>
      </c>
      <c r="AA102" s="6" t="s">
        <v>1264</v>
      </c>
      <c r="AB102" s="110">
        <f t="shared" si="12"/>
        <v>8041.107</v>
      </c>
    </row>
    <row r="103" spans="6:28" x14ac:dyDescent="0.2">
      <c r="N103">
        <v>7</v>
      </c>
      <c r="O103" s="6" t="s">
        <v>1264</v>
      </c>
      <c r="P103" s="110">
        <f t="shared" si="13"/>
        <v>8041.107</v>
      </c>
      <c r="R103">
        <v>0</v>
      </c>
      <c r="S103" s="6" t="s">
        <v>1176</v>
      </c>
      <c r="T103" s="69">
        <v>6136.31</v>
      </c>
      <c r="V103">
        <v>7</v>
      </c>
      <c r="W103" s="6" t="s">
        <v>1264</v>
      </c>
      <c r="X103" s="69">
        <f t="shared" si="11"/>
        <v>8041.107</v>
      </c>
      <c r="Z103">
        <v>7</v>
      </c>
      <c r="AA103" s="6" t="s">
        <v>1264</v>
      </c>
      <c r="AB103" s="110">
        <f t="shared" si="12"/>
        <v>8041.107</v>
      </c>
    </row>
    <row r="104" spans="6:28" x14ac:dyDescent="0.2">
      <c r="N104">
        <v>8</v>
      </c>
      <c r="O104" s="6" t="s">
        <v>1264</v>
      </c>
      <c r="P104" s="110">
        <f t="shared" si="13"/>
        <v>8041.107</v>
      </c>
      <c r="R104">
        <v>0</v>
      </c>
      <c r="S104" s="6" t="s">
        <v>1175</v>
      </c>
      <c r="T104" s="69">
        <v>6136.31</v>
      </c>
      <c r="V104">
        <v>8</v>
      </c>
      <c r="W104" s="6" t="s">
        <v>1264</v>
      </c>
      <c r="X104" s="69">
        <f t="shared" si="11"/>
        <v>8041.107</v>
      </c>
      <c r="Z104">
        <v>8</v>
      </c>
      <c r="AA104" s="6" t="s">
        <v>1264</v>
      </c>
      <c r="AB104" s="110">
        <f t="shared" si="12"/>
        <v>8041.107</v>
      </c>
    </row>
    <row r="105" spans="6:28" x14ac:dyDescent="0.2">
      <c r="F105" s="12"/>
      <c r="N105">
        <v>9</v>
      </c>
      <c r="O105" s="6" t="s">
        <v>1264</v>
      </c>
      <c r="P105" s="110">
        <f t="shared" si="13"/>
        <v>8041.107</v>
      </c>
      <c r="R105">
        <v>1</v>
      </c>
      <c r="S105" s="6" t="s">
        <v>1176</v>
      </c>
      <c r="T105" s="69">
        <v>6363.43</v>
      </c>
      <c r="V105">
        <v>9</v>
      </c>
      <c r="W105" s="6" t="s">
        <v>1264</v>
      </c>
      <c r="X105" s="69">
        <f t="shared" si="11"/>
        <v>8041.107</v>
      </c>
      <c r="Z105">
        <v>9</v>
      </c>
      <c r="AA105" s="6" t="s">
        <v>1264</v>
      </c>
      <c r="AB105" s="110">
        <f t="shared" si="12"/>
        <v>8041.107</v>
      </c>
    </row>
    <row r="106" spans="6:28" x14ac:dyDescent="0.2">
      <c r="N106">
        <v>10</v>
      </c>
      <c r="O106" s="6" t="s">
        <v>1264</v>
      </c>
      <c r="P106" s="110">
        <f t="shared" si="13"/>
        <v>8041.107</v>
      </c>
      <c r="R106">
        <v>1</v>
      </c>
      <c r="S106" s="6" t="s">
        <v>1175</v>
      </c>
      <c r="T106" s="69">
        <v>6343.43</v>
      </c>
      <c r="V106">
        <v>10</v>
      </c>
      <c r="W106" s="6" t="s">
        <v>1264</v>
      </c>
      <c r="X106" s="69">
        <f t="shared" si="11"/>
        <v>8041.107</v>
      </c>
      <c r="Z106">
        <v>10</v>
      </c>
      <c r="AA106" s="6" t="s">
        <v>1264</v>
      </c>
      <c r="AB106" s="110">
        <f t="shared" si="12"/>
        <v>8041.107</v>
      </c>
    </row>
    <row r="107" spans="6:28" x14ac:dyDescent="0.2">
      <c r="N107">
        <v>11</v>
      </c>
      <c r="O107" s="6" t="s">
        <v>1264</v>
      </c>
      <c r="P107" s="110">
        <f t="shared" si="13"/>
        <v>8041.107</v>
      </c>
      <c r="R107">
        <v>2</v>
      </c>
      <c r="S107" s="6" t="s">
        <v>1176</v>
      </c>
      <c r="T107" s="69">
        <v>6598.95</v>
      </c>
      <c r="V107">
        <v>11</v>
      </c>
      <c r="W107" s="6" t="s">
        <v>1264</v>
      </c>
      <c r="X107" s="69">
        <f t="shared" si="11"/>
        <v>8041.107</v>
      </c>
      <c r="Z107">
        <v>11</v>
      </c>
      <c r="AA107" s="6" t="s">
        <v>1264</v>
      </c>
      <c r="AB107" s="110">
        <f t="shared" si="12"/>
        <v>8041.107</v>
      </c>
    </row>
    <row r="108" spans="6:28" x14ac:dyDescent="0.2">
      <c r="N108">
        <v>12</v>
      </c>
      <c r="O108" s="6" t="s">
        <v>1264</v>
      </c>
      <c r="P108" s="110">
        <f t="shared" si="13"/>
        <v>8041.107</v>
      </c>
      <c r="R108">
        <v>2</v>
      </c>
      <c r="S108" s="6" t="s">
        <v>1175</v>
      </c>
      <c r="T108" s="69">
        <v>6598.95</v>
      </c>
      <c r="V108">
        <v>12</v>
      </c>
      <c r="W108" s="6" t="s">
        <v>1264</v>
      </c>
      <c r="X108" s="69">
        <f t="shared" si="11"/>
        <v>8041.107</v>
      </c>
      <c r="Z108">
        <v>12</v>
      </c>
      <c r="AA108" s="6" t="s">
        <v>1264</v>
      </c>
      <c r="AB108" s="110">
        <f t="shared" si="12"/>
        <v>8041.107</v>
      </c>
    </row>
    <row r="109" spans="6:28" x14ac:dyDescent="0.2">
      <c r="R109">
        <v>3</v>
      </c>
      <c r="S109" s="6" t="s">
        <v>1176</v>
      </c>
      <c r="T109" s="69">
        <v>6843.15</v>
      </c>
    </row>
    <row r="110" spans="6:28" x14ac:dyDescent="0.2">
      <c r="R110">
        <v>3</v>
      </c>
      <c r="S110" s="6" t="s">
        <v>1175</v>
      </c>
      <c r="T110" s="69">
        <v>6843.15</v>
      </c>
    </row>
    <row r="111" spans="6:28" x14ac:dyDescent="0.2">
      <c r="R111">
        <v>4</v>
      </c>
      <c r="S111" s="6" t="s">
        <v>1176</v>
      </c>
      <c r="T111" s="69">
        <v>7096.36</v>
      </c>
    </row>
    <row r="112" spans="6:28" x14ac:dyDescent="0.2">
      <c r="R112">
        <v>4</v>
      </c>
      <c r="S112" s="6" t="s">
        <v>1175</v>
      </c>
      <c r="T112" s="69">
        <v>7096.36</v>
      </c>
    </row>
    <row r="113" spans="18:20" x14ac:dyDescent="0.2">
      <c r="R113">
        <v>5</v>
      </c>
      <c r="S113" s="6" t="s">
        <v>1176</v>
      </c>
      <c r="T113" s="69">
        <v>7358.75</v>
      </c>
    </row>
    <row r="114" spans="18:20" x14ac:dyDescent="0.2">
      <c r="R114">
        <v>5</v>
      </c>
      <c r="S114" s="6" t="s">
        <v>1175</v>
      </c>
      <c r="T114" s="69">
        <v>7358.75</v>
      </c>
    </row>
    <row r="115" spans="18:20" x14ac:dyDescent="0.2">
      <c r="R115">
        <v>6</v>
      </c>
      <c r="S115" s="6" t="s">
        <v>1176</v>
      </c>
      <c r="T115" s="69">
        <v>7358.75</v>
      </c>
    </row>
    <row r="116" spans="18:20" x14ac:dyDescent="0.2">
      <c r="R116">
        <v>6</v>
      </c>
      <c r="S116" s="6" t="s">
        <v>1175</v>
      </c>
      <c r="T116" s="69">
        <v>7358.75</v>
      </c>
    </row>
    <row r="117" spans="18:20" x14ac:dyDescent="0.2">
      <c r="R117">
        <v>7</v>
      </c>
      <c r="S117" s="6" t="s">
        <v>1176</v>
      </c>
      <c r="T117" s="69">
        <v>7358.75</v>
      </c>
    </row>
    <row r="118" spans="18:20" x14ac:dyDescent="0.2">
      <c r="R118">
        <v>7</v>
      </c>
      <c r="S118" s="6" t="s">
        <v>1175</v>
      </c>
      <c r="T118" s="69">
        <v>7358.75</v>
      </c>
    </row>
    <row r="119" spans="18:20" x14ac:dyDescent="0.2">
      <c r="R119">
        <v>8</v>
      </c>
      <c r="S119" s="6" t="s">
        <v>1176</v>
      </c>
      <c r="T119" s="69">
        <v>7358.75</v>
      </c>
    </row>
    <row r="120" spans="18:20" x14ac:dyDescent="0.2">
      <c r="R120">
        <v>8</v>
      </c>
      <c r="S120" s="6" t="s">
        <v>1175</v>
      </c>
      <c r="T120" s="69">
        <v>7358.75</v>
      </c>
    </row>
    <row r="121" spans="18:20" x14ac:dyDescent="0.2">
      <c r="R121">
        <v>9</v>
      </c>
      <c r="S121" s="6" t="s">
        <v>1176</v>
      </c>
      <c r="T121" s="69">
        <v>7358.75</v>
      </c>
    </row>
    <row r="122" spans="18:20" x14ac:dyDescent="0.2">
      <c r="R122">
        <v>9</v>
      </c>
      <c r="S122" s="6" t="s">
        <v>1175</v>
      </c>
      <c r="T122" s="69">
        <v>7358.75</v>
      </c>
    </row>
    <row r="123" spans="18:20" x14ac:dyDescent="0.2">
      <c r="R123">
        <v>10</v>
      </c>
      <c r="S123" s="6" t="s">
        <v>1176</v>
      </c>
      <c r="T123" s="69">
        <v>7358.75</v>
      </c>
    </row>
    <row r="124" spans="18:20" x14ac:dyDescent="0.2">
      <c r="R124">
        <v>10</v>
      </c>
      <c r="S124" s="6" t="s">
        <v>1175</v>
      </c>
      <c r="T124" s="69">
        <v>7358.75</v>
      </c>
    </row>
    <row r="125" spans="18:20" x14ac:dyDescent="0.2">
      <c r="R125" t="s">
        <v>110</v>
      </c>
      <c r="S125" s="6" t="s">
        <v>1178</v>
      </c>
      <c r="T125" s="69">
        <f>T101*1.03</f>
        <v>0</v>
      </c>
    </row>
    <row r="126" spans="18:20" x14ac:dyDescent="0.2">
      <c r="R126" t="s">
        <v>110</v>
      </c>
      <c r="S126" s="6" t="s">
        <v>1177</v>
      </c>
      <c r="T126" s="69">
        <f>T102*1.03</f>
        <v>0</v>
      </c>
    </row>
    <row r="127" spans="18:20" x14ac:dyDescent="0.2">
      <c r="R127">
        <v>0</v>
      </c>
      <c r="S127" s="6" t="s">
        <v>1178</v>
      </c>
      <c r="T127" s="69">
        <v>6320.4</v>
      </c>
    </row>
    <row r="128" spans="18:20" x14ac:dyDescent="0.2">
      <c r="R128">
        <v>0</v>
      </c>
      <c r="S128" s="6" t="s">
        <v>1177</v>
      </c>
      <c r="T128" s="69">
        <v>6320.4</v>
      </c>
    </row>
    <row r="129" spans="18:20" x14ac:dyDescent="0.2">
      <c r="R129">
        <v>1</v>
      </c>
      <c r="S129" s="6" t="s">
        <v>1178</v>
      </c>
      <c r="T129" s="69">
        <v>6554.33</v>
      </c>
    </row>
    <row r="130" spans="18:20" x14ac:dyDescent="0.2">
      <c r="R130">
        <v>1</v>
      </c>
      <c r="S130" s="6" t="s">
        <v>1177</v>
      </c>
      <c r="T130" s="69">
        <v>6554.33</v>
      </c>
    </row>
    <row r="131" spans="18:20" x14ac:dyDescent="0.2">
      <c r="R131">
        <v>2</v>
      </c>
      <c r="S131" s="6" t="s">
        <v>1178</v>
      </c>
      <c r="T131" s="69">
        <v>6796.92</v>
      </c>
    </row>
    <row r="132" spans="18:20" x14ac:dyDescent="0.2">
      <c r="R132">
        <v>2</v>
      </c>
      <c r="S132" s="6" t="s">
        <v>1177</v>
      </c>
      <c r="T132" s="69">
        <v>6796.92</v>
      </c>
    </row>
    <row r="133" spans="18:20" x14ac:dyDescent="0.2">
      <c r="R133">
        <v>3</v>
      </c>
      <c r="S133" s="6" t="s">
        <v>1178</v>
      </c>
      <c r="T133" s="69">
        <v>7048.44</v>
      </c>
    </row>
    <row r="134" spans="18:20" x14ac:dyDescent="0.2">
      <c r="R134">
        <v>3</v>
      </c>
      <c r="S134" s="6" t="s">
        <v>1177</v>
      </c>
      <c r="T134" s="69">
        <v>7048.44</v>
      </c>
    </row>
    <row r="135" spans="18:20" x14ac:dyDescent="0.2">
      <c r="R135">
        <v>4</v>
      </c>
      <c r="S135" s="6" t="s">
        <v>1178</v>
      </c>
      <c r="T135" s="69">
        <v>7309.25</v>
      </c>
    </row>
    <row r="136" spans="18:20" x14ac:dyDescent="0.2">
      <c r="R136">
        <v>4</v>
      </c>
      <c r="S136" s="6" t="s">
        <v>1177</v>
      </c>
      <c r="T136" s="69">
        <v>7309.25</v>
      </c>
    </row>
    <row r="137" spans="18:20" x14ac:dyDescent="0.2">
      <c r="R137">
        <v>5</v>
      </c>
      <c r="S137" s="6" t="s">
        <v>1178</v>
      </c>
      <c r="T137" s="69">
        <v>7579.51</v>
      </c>
    </row>
    <row r="138" spans="18:20" x14ac:dyDescent="0.2">
      <c r="R138">
        <v>5</v>
      </c>
      <c r="S138" s="6" t="s">
        <v>1177</v>
      </c>
      <c r="T138" s="69">
        <v>7579.51</v>
      </c>
    </row>
    <row r="139" spans="18:20" x14ac:dyDescent="0.2">
      <c r="R139">
        <v>6</v>
      </c>
      <c r="S139" s="6" t="s">
        <v>1178</v>
      </c>
      <c r="T139" s="69">
        <v>7579.51</v>
      </c>
    </row>
    <row r="140" spans="18:20" x14ac:dyDescent="0.2">
      <c r="R140">
        <v>6</v>
      </c>
      <c r="S140" s="6" t="s">
        <v>1177</v>
      </c>
      <c r="T140" s="69">
        <v>7579.51</v>
      </c>
    </row>
    <row r="141" spans="18:20" x14ac:dyDescent="0.2">
      <c r="R141">
        <v>7</v>
      </c>
      <c r="S141" s="6" t="s">
        <v>1178</v>
      </c>
      <c r="T141" s="69">
        <v>7579.51</v>
      </c>
    </row>
    <row r="142" spans="18:20" x14ac:dyDescent="0.2">
      <c r="R142">
        <v>7</v>
      </c>
      <c r="S142" s="6" t="s">
        <v>1177</v>
      </c>
      <c r="T142" s="69">
        <v>7579.51</v>
      </c>
    </row>
    <row r="143" spans="18:20" x14ac:dyDescent="0.2">
      <c r="R143">
        <v>8</v>
      </c>
      <c r="S143" s="6" t="s">
        <v>1178</v>
      </c>
      <c r="T143" s="69">
        <v>7579.51</v>
      </c>
    </row>
    <row r="144" spans="18:20" x14ac:dyDescent="0.2">
      <c r="R144">
        <v>8</v>
      </c>
      <c r="S144" s="6" t="s">
        <v>1177</v>
      </c>
      <c r="T144" s="69">
        <v>7579.51</v>
      </c>
    </row>
    <row r="145" spans="18:20" x14ac:dyDescent="0.2">
      <c r="R145">
        <v>9</v>
      </c>
      <c r="S145" s="6" t="s">
        <v>1178</v>
      </c>
      <c r="T145" s="69">
        <v>7579.51</v>
      </c>
    </row>
    <row r="146" spans="18:20" x14ac:dyDescent="0.2">
      <c r="R146">
        <v>9</v>
      </c>
      <c r="S146" s="6" t="s">
        <v>1177</v>
      </c>
      <c r="T146" s="69">
        <v>7579.51</v>
      </c>
    </row>
    <row r="147" spans="18:20" x14ac:dyDescent="0.2">
      <c r="R147">
        <v>10</v>
      </c>
      <c r="S147" s="6" t="s">
        <v>1178</v>
      </c>
      <c r="T147" s="69">
        <v>7579.51</v>
      </c>
    </row>
    <row r="148" spans="18:20" x14ac:dyDescent="0.2">
      <c r="R148">
        <v>10</v>
      </c>
      <c r="S148" s="6" t="s">
        <v>1177</v>
      </c>
      <c r="T148" s="69">
        <v>7579.51</v>
      </c>
    </row>
    <row r="149" spans="18:20" x14ac:dyDescent="0.2">
      <c r="R149" t="s">
        <v>110</v>
      </c>
      <c r="S149" s="6" t="s">
        <v>1229</v>
      </c>
      <c r="T149" s="69">
        <f>T125*1.03</f>
        <v>0</v>
      </c>
    </row>
    <row r="150" spans="18:20" x14ac:dyDescent="0.2">
      <c r="R150" t="s">
        <v>110</v>
      </c>
      <c r="S150" s="6" t="s">
        <v>1179</v>
      </c>
      <c r="T150" s="69">
        <f>T126*1.03</f>
        <v>0</v>
      </c>
    </row>
    <row r="151" spans="18:20" x14ac:dyDescent="0.2">
      <c r="R151">
        <v>0</v>
      </c>
      <c r="S151" s="6" t="s">
        <v>1229</v>
      </c>
      <c r="T151" s="69">
        <v>6510.01</v>
      </c>
    </row>
    <row r="152" spans="18:20" x14ac:dyDescent="0.2">
      <c r="R152">
        <v>0</v>
      </c>
      <c r="S152" s="6" t="s">
        <v>1179</v>
      </c>
      <c r="T152" s="69">
        <v>6510.01</v>
      </c>
    </row>
    <row r="153" spans="18:20" x14ac:dyDescent="0.2">
      <c r="R153">
        <v>1</v>
      </c>
      <c r="S153" s="6" t="s">
        <v>1229</v>
      </c>
      <c r="T153" s="69">
        <v>6750.96</v>
      </c>
    </row>
    <row r="154" spans="18:20" x14ac:dyDescent="0.2">
      <c r="R154">
        <v>1</v>
      </c>
      <c r="S154" s="6" t="s">
        <v>1179</v>
      </c>
      <c r="T154" s="69">
        <v>6750.96</v>
      </c>
    </row>
    <row r="155" spans="18:20" x14ac:dyDescent="0.2">
      <c r="R155">
        <v>2</v>
      </c>
      <c r="S155" s="6" t="s">
        <v>1229</v>
      </c>
      <c r="T155" s="69">
        <v>7000.83</v>
      </c>
    </row>
    <row r="156" spans="18:20" x14ac:dyDescent="0.2">
      <c r="R156">
        <v>2</v>
      </c>
      <c r="S156" s="6" t="s">
        <v>1179</v>
      </c>
      <c r="T156" s="69">
        <v>7000.83</v>
      </c>
    </row>
    <row r="157" spans="18:20" x14ac:dyDescent="0.2">
      <c r="R157">
        <v>3</v>
      </c>
      <c r="S157" s="6" t="s">
        <v>1229</v>
      </c>
      <c r="T157" s="69">
        <v>7259.9</v>
      </c>
    </row>
    <row r="158" spans="18:20" x14ac:dyDescent="0.2">
      <c r="R158">
        <v>3</v>
      </c>
      <c r="S158" s="6" t="s">
        <v>1179</v>
      </c>
      <c r="T158" s="69">
        <v>7259.9</v>
      </c>
    </row>
    <row r="159" spans="18:20" x14ac:dyDescent="0.2">
      <c r="R159">
        <v>4</v>
      </c>
      <c r="S159" s="6" t="s">
        <v>1229</v>
      </c>
      <c r="T159" s="69">
        <v>7528.52</v>
      </c>
    </row>
    <row r="160" spans="18:20" x14ac:dyDescent="0.2">
      <c r="R160">
        <v>4</v>
      </c>
      <c r="S160" s="6" t="s">
        <v>1179</v>
      </c>
      <c r="T160" s="69">
        <v>7258.52</v>
      </c>
    </row>
    <row r="161" spans="18:20" x14ac:dyDescent="0.2">
      <c r="R161">
        <v>5</v>
      </c>
      <c r="S161" s="6" t="s">
        <v>1229</v>
      </c>
      <c r="T161" s="69">
        <v>7806.9</v>
      </c>
    </row>
    <row r="162" spans="18:20" x14ac:dyDescent="0.2">
      <c r="R162">
        <v>5</v>
      </c>
      <c r="S162" s="6" t="s">
        <v>1179</v>
      </c>
      <c r="T162" s="69">
        <v>7806.9</v>
      </c>
    </row>
    <row r="163" spans="18:20" x14ac:dyDescent="0.2">
      <c r="R163">
        <v>6</v>
      </c>
      <c r="S163" s="6" t="s">
        <v>1229</v>
      </c>
      <c r="T163" s="69">
        <v>7806.9</v>
      </c>
    </row>
    <row r="164" spans="18:20" x14ac:dyDescent="0.2">
      <c r="R164">
        <v>6</v>
      </c>
      <c r="S164" s="6" t="s">
        <v>1179</v>
      </c>
      <c r="T164" s="69">
        <v>7806.9</v>
      </c>
    </row>
    <row r="165" spans="18:20" x14ac:dyDescent="0.2">
      <c r="R165">
        <v>7</v>
      </c>
      <c r="S165" s="6" t="s">
        <v>1229</v>
      </c>
      <c r="T165" s="69">
        <v>7806.9</v>
      </c>
    </row>
    <row r="166" spans="18:20" x14ac:dyDescent="0.2">
      <c r="R166">
        <v>7</v>
      </c>
      <c r="S166" s="6" t="s">
        <v>1179</v>
      </c>
      <c r="T166" s="69">
        <v>7806.9</v>
      </c>
    </row>
    <row r="167" spans="18:20" x14ac:dyDescent="0.2">
      <c r="R167">
        <v>8</v>
      </c>
      <c r="S167" s="6" t="s">
        <v>1229</v>
      </c>
      <c r="T167" s="69">
        <v>7806.9</v>
      </c>
    </row>
    <row r="168" spans="18:20" x14ac:dyDescent="0.2">
      <c r="R168">
        <v>8</v>
      </c>
      <c r="S168" s="6" t="s">
        <v>1179</v>
      </c>
      <c r="T168" s="69">
        <v>7806.9</v>
      </c>
    </row>
    <row r="169" spans="18:20" x14ac:dyDescent="0.2">
      <c r="R169">
        <v>9</v>
      </c>
      <c r="S169" s="6" t="s">
        <v>1229</v>
      </c>
      <c r="T169" s="69">
        <v>7806.9</v>
      </c>
    </row>
    <row r="170" spans="18:20" x14ac:dyDescent="0.2">
      <c r="R170">
        <v>9</v>
      </c>
      <c r="S170" s="6" t="s">
        <v>1179</v>
      </c>
      <c r="T170" s="69">
        <v>7806.9</v>
      </c>
    </row>
    <row r="171" spans="18:20" x14ac:dyDescent="0.2">
      <c r="R171">
        <v>10</v>
      </c>
      <c r="S171" s="6" t="s">
        <v>1229</v>
      </c>
      <c r="T171" s="69">
        <v>7806.9</v>
      </c>
    </row>
    <row r="172" spans="18:20" x14ac:dyDescent="0.2">
      <c r="R172">
        <v>10</v>
      </c>
      <c r="S172" s="6" t="s">
        <v>1179</v>
      </c>
      <c r="T172" s="69">
        <v>7806.9</v>
      </c>
    </row>
    <row r="173" spans="18:20" x14ac:dyDescent="0.2">
      <c r="R173" t="s">
        <v>110</v>
      </c>
      <c r="S173" s="6" t="s">
        <v>1266</v>
      </c>
    </row>
    <row r="174" spans="18:20" x14ac:dyDescent="0.2">
      <c r="R174" t="s">
        <v>110</v>
      </c>
      <c r="S174" s="6" t="s">
        <v>1265</v>
      </c>
    </row>
    <row r="175" spans="18:20" x14ac:dyDescent="0.2">
      <c r="R175">
        <v>0</v>
      </c>
      <c r="S175" s="6" t="s">
        <v>1266</v>
      </c>
      <c r="T175" s="69">
        <f>T151*1.03</f>
        <v>6705.3103000000001</v>
      </c>
    </row>
    <row r="176" spans="18:20" x14ac:dyDescent="0.2">
      <c r="R176">
        <v>0</v>
      </c>
      <c r="S176" s="6" t="s">
        <v>1265</v>
      </c>
      <c r="T176" s="69">
        <v>6705.31</v>
      </c>
    </row>
    <row r="177" spans="18:20" x14ac:dyDescent="0.2">
      <c r="R177">
        <v>1</v>
      </c>
      <c r="S177" s="6" t="s">
        <v>1266</v>
      </c>
      <c r="T177" s="69">
        <f>T153*1.03</f>
        <v>6953.4888000000001</v>
      </c>
    </row>
    <row r="178" spans="18:20" x14ac:dyDescent="0.2">
      <c r="R178">
        <v>1</v>
      </c>
      <c r="S178" s="6" t="s">
        <v>1265</v>
      </c>
      <c r="T178" s="69">
        <v>6953.49</v>
      </c>
    </row>
    <row r="179" spans="18:20" x14ac:dyDescent="0.2">
      <c r="R179">
        <v>2</v>
      </c>
      <c r="S179" s="6" t="s">
        <v>1266</v>
      </c>
      <c r="T179" s="69">
        <f>T155*1.03</f>
        <v>7210.8549000000003</v>
      </c>
    </row>
    <row r="180" spans="18:20" x14ac:dyDescent="0.2">
      <c r="R180">
        <v>2</v>
      </c>
      <c r="S180" s="6" t="s">
        <v>1265</v>
      </c>
      <c r="T180" s="69">
        <v>7210.85</v>
      </c>
    </row>
    <row r="181" spans="18:20" x14ac:dyDescent="0.2">
      <c r="R181">
        <v>3</v>
      </c>
      <c r="S181" s="6" t="s">
        <v>1266</v>
      </c>
      <c r="T181" s="69">
        <f>T157*1.03</f>
        <v>7477.6970000000001</v>
      </c>
    </row>
    <row r="182" spans="18:20" x14ac:dyDescent="0.2">
      <c r="R182">
        <v>3</v>
      </c>
      <c r="S182" s="6" t="s">
        <v>1265</v>
      </c>
      <c r="T182" s="69">
        <v>7477.7</v>
      </c>
    </row>
    <row r="183" spans="18:20" x14ac:dyDescent="0.2">
      <c r="R183">
        <v>4</v>
      </c>
      <c r="S183" s="6" t="s">
        <v>1266</v>
      </c>
      <c r="T183" s="69">
        <f>T159*1.03</f>
        <v>7754.3756000000003</v>
      </c>
    </row>
    <row r="184" spans="18:20" x14ac:dyDescent="0.2">
      <c r="R184">
        <v>4</v>
      </c>
      <c r="S184" s="6" t="s">
        <v>1265</v>
      </c>
      <c r="T184" s="69">
        <v>7754.38</v>
      </c>
    </row>
    <row r="185" spans="18:20" x14ac:dyDescent="0.2">
      <c r="R185">
        <v>5</v>
      </c>
      <c r="S185" s="6" t="s">
        <v>1266</v>
      </c>
      <c r="T185" s="69">
        <f>T161*1.03</f>
        <v>8041.107</v>
      </c>
    </row>
    <row r="186" spans="18:20" x14ac:dyDescent="0.2">
      <c r="R186">
        <v>5</v>
      </c>
      <c r="S186" s="6" t="s">
        <v>1265</v>
      </c>
      <c r="T186" s="69">
        <v>8041.11</v>
      </c>
    </row>
    <row r="187" spans="18:20" x14ac:dyDescent="0.2">
      <c r="R187">
        <v>6</v>
      </c>
      <c r="S187" s="6" t="s">
        <v>1266</v>
      </c>
      <c r="T187" s="69">
        <v>8041.11</v>
      </c>
    </row>
    <row r="188" spans="18:20" x14ac:dyDescent="0.2">
      <c r="R188">
        <v>6</v>
      </c>
      <c r="S188" s="6" t="s">
        <v>1265</v>
      </c>
      <c r="T188" s="69">
        <v>8041.11</v>
      </c>
    </row>
    <row r="189" spans="18:20" x14ac:dyDescent="0.2">
      <c r="R189">
        <v>7</v>
      </c>
      <c r="S189" s="6" t="s">
        <v>1266</v>
      </c>
      <c r="T189" s="69">
        <v>8041.11</v>
      </c>
    </row>
    <row r="190" spans="18:20" x14ac:dyDescent="0.2">
      <c r="R190">
        <v>7</v>
      </c>
      <c r="S190" s="6" t="s">
        <v>1265</v>
      </c>
      <c r="T190" s="69">
        <v>8041.11</v>
      </c>
    </row>
    <row r="191" spans="18:20" x14ac:dyDescent="0.2">
      <c r="R191">
        <v>8</v>
      </c>
      <c r="S191" s="6" t="s">
        <v>1266</v>
      </c>
      <c r="T191" s="69">
        <v>8041.11</v>
      </c>
    </row>
    <row r="192" spans="18:20" x14ac:dyDescent="0.2">
      <c r="R192">
        <v>8</v>
      </c>
      <c r="S192" s="6" t="s">
        <v>1265</v>
      </c>
      <c r="T192" s="69">
        <v>8041.11</v>
      </c>
    </row>
    <row r="193" spans="18:20" x14ac:dyDescent="0.2">
      <c r="R193">
        <v>9</v>
      </c>
      <c r="S193" s="6" t="s">
        <v>1266</v>
      </c>
      <c r="T193" s="69">
        <v>8041.11</v>
      </c>
    </row>
    <row r="194" spans="18:20" x14ac:dyDescent="0.2">
      <c r="R194">
        <v>9</v>
      </c>
      <c r="S194" s="6" t="s">
        <v>1265</v>
      </c>
      <c r="T194" s="69">
        <v>8041.11</v>
      </c>
    </row>
    <row r="195" spans="18:20" x14ac:dyDescent="0.2">
      <c r="R195">
        <v>10</v>
      </c>
      <c r="S195" s="6" t="s">
        <v>1266</v>
      </c>
      <c r="T195" s="69">
        <v>8041.11</v>
      </c>
    </row>
    <row r="196" spans="18:20" x14ac:dyDescent="0.2">
      <c r="R196">
        <v>10</v>
      </c>
      <c r="S196" s="6" t="s">
        <v>1265</v>
      </c>
      <c r="T196" s="69">
        <v>8041.11</v>
      </c>
    </row>
  </sheetData>
  <sheetProtection algorithmName="SHA-512" hashValue="Vhb2ktELJOLnARGUNezAZr/YXWujuoI35TZtBwAMwjB8joaS8BE55q5nQrw+GuE4A29aN/3a3eeALOq+agxbKw==" saltValue="0CZzgXR51jjB4MLWrl96BA==" spinCount="100000" sheet="1" objects="1" scenarios="1"/>
  <pageMargins left="0.7" right="0.7" top="0.75" bottom="0.75" header="0.3" footer="0.3"/>
  <pageSetup orientation="portrait" horizontalDpi="1200" verticalDpi="1200" r:id="rId1"/>
  <ignoredErrors>
    <ignoredError sqref="P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08B9-B7D1-4B2C-8A1E-362909614869}">
  <dimension ref="A1:X605"/>
  <sheetViews>
    <sheetView topLeftCell="I570" workbookViewId="0">
      <selection activeCell="N604" sqref="N604"/>
    </sheetView>
  </sheetViews>
  <sheetFormatPr defaultRowHeight="12.75" x14ac:dyDescent="0.2"/>
  <cols>
    <col min="2" max="2" width="13.28515625" customWidth="1"/>
    <col min="5" max="5" width="17.5703125" customWidth="1"/>
    <col min="6" max="6" width="18.7109375" customWidth="1"/>
    <col min="7" max="8" width="32.28515625" customWidth="1"/>
    <col min="9" max="9" width="21.7109375" customWidth="1"/>
    <col min="10" max="10" width="18" customWidth="1"/>
    <col min="11" max="11" width="29" customWidth="1"/>
    <col min="12" max="12" width="12.42578125" customWidth="1"/>
    <col min="13" max="13" width="17" customWidth="1"/>
    <col min="14" max="14" width="19.5703125" customWidth="1"/>
    <col min="15" max="15" width="15.5703125" customWidth="1"/>
    <col min="16" max="16" width="14.140625" customWidth="1"/>
    <col min="17" max="17" width="21.42578125" customWidth="1"/>
    <col min="18" max="18" width="20.5703125" customWidth="1"/>
    <col min="21" max="21" width="9.5703125" customWidth="1"/>
    <col min="22" max="22" width="20.5703125" customWidth="1"/>
  </cols>
  <sheetData>
    <row r="1" spans="4:14" x14ac:dyDescent="0.2">
      <c r="I1" t="s">
        <v>1160</v>
      </c>
    </row>
    <row r="2" spans="4:14" x14ac:dyDescent="0.2">
      <c r="D2">
        <v>1</v>
      </c>
      <c r="E2" t="s">
        <v>150</v>
      </c>
      <c r="F2" t="s">
        <v>1100</v>
      </c>
      <c r="G2" t="s">
        <v>14</v>
      </c>
      <c r="H2">
        <v>1</v>
      </c>
      <c r="I2" t="s">
        <v>150</v>
      </c>
      <c r="J2">
        <v>3</v>
      </c>
      <c r="K2" t="s">
        <v>1100</v>
      </c>
      <c r="L2">
        <v>6</v>
      </c>
      <c r="M2" t="s">
        <v>14</v>
      </c>
      <c r="N2">
        <v>3</v>
      </c>
    </row>
    <row r="3" spans="4:14" x14ac:dyDescent="0.2">
      <c r="D3">
        <v>2</v>
      </c>
      <c r="E3" t="s">
        <v>1161</v>
      </c>
      <c r="F3" t="s">
        <v>1100</v>
      </c>
      <c r="G3" t="s">
        <v>1097</v>
      </c>
      <c r="H3">
        <v>2</v>
      </c>
      <c r="I3" t="s">
        <v>1161</v>
      </c>
      <c r="J3">
        <v>2</v>
      </c>
      <c r="K3" t="s">
        <v>1100</v>
      </c>
      <c r="L3">
        <v>6</v>
      </c>
      <c r="M3" t="s">
        <v>1097</v>
      </c>
      <c r="N3">
        <v>4</v>
      </c>
    </row>
    <row r="4" spans="4:14" x14ac:dyDescent="0.2">
      <c r="D4">
        <v>3</v>
      </c>
      <c r="E4" t="s">
        <v>1148</v>
      </c>
      <c r="F4" t="s">
        <v>1100</v>
      </c>
      <c r="G4" t="s">
        <v>1099</v>
      </c>
      <c r="H4">
        <v>3</v>
      </c>
      <c r="I4" t="s">
        <v>1148</v>
      </c>
      <c r="J4">
        <v>1</v>
      </c>
      <c r="K4" t="s">
        <v>1100</v>
      </c>
      <c r="L4">
        <v>6</v>
      </c>
      <c r="M4" t="s">
        <v>1099</v>
      </c>
      <c r="N4">
        <v>5</v>
      </c>
    </row>
    <row r="5" spans="4:14" x14ac:dyDescent="0.2">
      <c r="D5">
        <v>4</v>
      </c>
      <c r="E5" t="s">
        <v>1100</v>
      </c>
      <c r="F5" t="s">
        <v>132</v>
      </c>
      <c r="G5" t="s">
        <v>1101</v>
      </c>
      <c r="H5">
        <v>4</v>
      </c>
      <c r="I5" t="s">
        <v>1100</v>
      </c>
      <c r="J5">
        <v>6</v>
      </c>
      <c r="K5" t="s">
        <v>132</v>
      </c>
      <c r="L5">
        <v>0</v>
      </c>
      <c r="M5" t="s">
        <v>1101</v>
      </c>
      <c r="N5">
        <v>6</v>
      </c>
    </row>
    <row r="6" spans="4:14" x14ac:dyDescent="0.2">
      <c r="D6">
        <v>5</v>
      </c>
      <c r="E6" t="s">
        <v>1102</v>
      </c>
      <c r="F6" t="s">
        <v>1101</v>
      </c>
      <c r="G6" t="s">
        <v>1145</v>
      </c>
      <c r="H6">
        <v>5</v>
      </c>
      <c r="I6" t="s">
        <v>1102</v>
      </c>
      <c r="J6">
        <v>5</v>
      </c>
      <c r="K6" t="s">
        <v>1101</v>
      </c>
      <c r="L6">
        <v>6</v>
      </c>
      <c r="M6" t="s">
        <v>1145</v>
      </c>
      <c r="N6">
        <v>1</v>
      </c>
    </row>
    <row r="7" spans="4:14" x14ac:dyDescent="0.2">
      <c r="D7">
        <v>6</v>
      </c>
      <c r="E7" t="s">
        <v>1104</v>
      </c>
      <c r="F7" t="s">
        <v>1101</v>
      </c>
      <c r="G7" t="s">
        <v>149</v>
      </c>
      <c r="H7">
        <v>6</v>
      </c>
      <c r="I7" t="s">
        <v>1104</v>
      </c>
      <c r="J7">
        <v>4</v>
      </c>
      <c r="K7" t="s">
        <v>1101</v>
      </c>
      <c r="L7">
        <v>6</v>
      </c>
      <c r="M7" t="s">
        <v>149</v>
      </c>
      <c r="N7">
        <v>2</v>
      </c>
    </row>
    <row r="8" spans="4:14" x14ac:dyDescent="0.2">
      <c r="D8">
        <v>7</v>
      </c>
      <c r="E8" t="s">
        <v>1080</v>
      </c>
      <c r="F8" t="s">
        <v>1101</v>
      </c>
      <c r="G8" t="s">
        <v>1070</v>
      </c>
      <c r="H8">
        <v>7</v>
      </c>
      <c r="I8" t="s">
        <v>1080</v>
      </c>
      <c r="J8">
        <v>3</v>
      </c>
      <c r="K8" t="s">
        <v>1101</v>
      </c>
      <c r="L8">
        <v>6</v>
      </c>
      <c r="M8" t="s">
        <v>1070</v>
      </c>
      <c r="N8">
        <v>3</v>
      </c>
    </row>
    <row r="9" spans="4:14" x14ac:dyDescent="0.2">
      <c r="D9">
        <v>8</v>
      </c>
      <c r="E9" t="s">
        <v>1106</v>
      </c>
      <c r="F9" t="s">
        <v>1101</v>
      </c>
      <c r="G9" t="s">
        <v>1164</v>
      </c>
      <c r="H9">
        <v>8</v>
      </c>
      <c r="I9" t="s">
        <v>1106</v>
      </c>
      <c r="J9">
        <v>2</v>
      </c>
      <c r="K9" t="s">
        <v>1101</v>
      </c>
      <c r="L9">
        <v>6</v>
      </c>
      <c r="M9" t="s">
        <v>1164</v>
      </c>
      <c r="N9">
        <v>4</v>
      </c>
    </row>
    <row r="10" spans="4:14" x14ac:dyDescent="0.2">
      <c r="D10">
        <v>9</v>
      </c>
      <c r="E10" t="s">
        <v>12</v>
      </c>
      <c r="F10" t="s">
        <v>1101</v>
      </c>
      <c r="G10" t="s">
        <v>1165</v>
      </c>
      <c r="H10">
        <v>9</v>
      </c>
      <c r="I10" t="s">
        <v>12</v>
      </c>
      <c r="J10">
        <v>1</v>
      </c>
      <c r="K10" t="s">
        <v>1101</v>
      </c>
      <c r="L10">
        <v>6</v>
      </c>
      <c r="M10" t="s">
        <v>1165</v>
      </c>
      <c r="N10">
        <v>5</v>
      </c>
    </row>
    <row r="11" spans="4:14" x14ac:dyDescent="0.2">
      <c r="D11">
        <v>10</v>
      </c>
      <c r="E11" t="s">
        <v>1101</v>
      </c>
      <c r="F11" t="s">
        <v>1100</v>
      </c>
      <c r="G11" t="s">
        <v>132</v>
      </c>
      <c r="H11">
        <v>10</v>
      </c>
      <c r="I11" t="s">
        <v>1101</v>
      </c>
      <c r="J11">
        <v>6</v>
      </c>
      <c r="K11" t="s">
        <v>1100</v>
      </c>
      <c r="L11">
        <v>6</v>
      </c>
      <c r="M11" t="s">
        <v>132</v>
      </c>
      <c r="N11">
        <v>0</v>
      </c>
    </row>
    <row r="12" spans="4:14" x14ac:dyDescent="0.2">
      <c r="D12">
        <v>11</v>
      </c>
      <c r="E12" t="s">
        <v>1162</v>
      </c>
      <c r="F12" t="s">
        <v>1100</v>
      </c>
      <c r="G12" t="s">
        <v>142</v>
      </c>
      <c r="H12">
        <v>11</v>
      </c>
      <c r="I12" t="s">
        <v>1162</v>
      </c>
      <c r="J12">
        <v>5</v>
      </c>
      <c r="K12" t="s">
        <v>1100</v>
      </c>
      <c r="L12">
        <v>6</v>
      </c>
      <c r="M12" t="s">
        <v>142</v>
      </c>
      <c r="N12">
        <v>1</v>
      </c>
    </row>
    <row r="13" spans="4:14" x14ac:dyDescent="0.2">
      <c r="D13">
        <v>12</v>
      </c>
      <c r="E13" t="s">
        <v>1163</v>
      </c>
      <c r="F13" t="s">
        <v>1100</v>
      </c>
      <c r="G13" t="s">
        <v>143</v>
      </c>
      <c r="H13">
        <v>12</v>
      </c>
      <c r="I13" t="s">
        <v>1163</v>
      </c>
      <c r="J13">
        <v>4</v>
      </c>
      <c r="K13" t="s">
        <v>1100</v>
      </c>
      <c r="L13">
        <v>6</v>
      </c>
      <c r="M13" t="s">
        <v>143</v>
      </c>
      <c r="N13">
        <v>2</v>
      </c>
    </row>
    <row r="22" spans="2:23" x14ac:dyDescent="0.2">
      <c r="F22" s="19"/>
      <c r="G22" s="19"/>
      <c r="H22" s="19"/>
    </row>
    <row r="23" spans="2:23" x14ac:dyDescent="0.2">
      <c r="B23" s="108"/>
      <c r="C23" s="108"/>
      <c r="D23" s="6"/>
    </row>
    <row r="24" spans="2:23" x14ac:dyDescent="0.2">
      <c r="B24" s="108"/>
      <c r="C24" s="108"/>
      <c r="D24" s="6"/>
    </row>
    <row r="25" spans="2:23" x14ac:dyDescent="0.2">
      <c r="B25" s="108"/>
      <c r="C25" s="108"/>
      <c r="D25" s="6"/>
      <c r="Q25" t="s">
        <v>1158</v>
      </c>
      <c r="U25" t="s">
        <v>1159</v>
      </c>
    </row>
    <row r="26" spans="2:23" x14ac:dyDescent="0.2">
      <c r="B26" s="108"/>
      <c r="C26" s="108"/>
      <c r="D26" s="6"/>
      <c r="I26" t="s">
        <v>1085</v>
      </c>
      <c r="J26" t="s">
        <v>1088</v>
      </c>
      <c r="K26" t="s">
        <v>1086</v>
      </c>
      <c r="L26" t="s">
        <v>1087</v>
      </c>
      <c r="O26" s="19" t="s">
        <v>1113</v>
      </c>
      <c r="P26" s="19" t="s">
        <v>1116</v>
      </c>
      <c r="Q26" s="6" t="s">
        <v>1119</v>
      </c>
      <c r="R26" s="6" t="s">
        <v>1120</v>
      </c>
      <c r="S26" s="6" t="s">
        <v>1093</v>
      </c>
      <c r="U26" s="6" t="s">
        <v>1119</v>
      </c>
      <c r="V26" s="6" t="s">
        <v>1120</v>
      </c>
      <c r="W26" s="6" t="s">
        <v>1093</v>
      </c>
    </row>
    <row r="27" spans="2:23" x14ac:dyDescent="0.2">
      <c r="B27" s="108"/>
      <c r="C27" s="108"/>
      <c r="D27" s="6"/>
      <c r="G27" s="205">
        <v>1</v>
      </c>
      <c r="H27" s="205"/>
      <c r="I27" t="s">
        <v>1064</v>
      </c>
      <c r="J27">
        <v>6</v>
      </c>
      <c r="K27" t="s">
        <v>1065</v>
      </c>
      <c r="L27">
        <v>6</v>
      </c>
      <c r="N27" s="108">
        <v>45292</v>
      </c>
      <c r="O27" t="s">
        <v>1064</v>
      </c>
      <c r="P27" s="6" t="s">
        <v>1058</v>
      </c>
      <c r="Q27" s="127">
        <v>44927</v>
      </c>
      <c r="R27" s="6" t="s">
        <v>1095</v>
      </c>
      <c r="S27" s="6" t="s">
        <v>1063</v>
      </c>
      <c r="U27" s="127">
        <v>44927</v>
      </c>
      <c r="V27" t="s">
        <v>150</v>
      </c>
      <c r="W27" s="6" t="s">
        <v>1166</v>
      </c>
    </row>
    <row r="28" spans="2:23" x14ac:dyDescent="0.2">
      <c r="B28" s="108"/>
      <c r="C28" s="108"/>
      <c r="D28" s="6"/>
      <c r="G28" s="205">
        <v>2</v>
      </c>
      <c r="H28" s="205"/>
      <c r="I28" t="s">
        <v>1066</v>
      </c>
      <c r="J28">
        <v>5</v>
      </c>
      <c r="K28" t="s">
        <v>1067</v>
      </c>
      <c r="L28">
        <v>7</v>
      </c>
      <c r="N28" s="108">
        <v>45292</v>
      </c>
      <c r="O28" t="s">
        <v>1065</v>
      </c>
      <c r="P28" s="6" t="s">
        <v>1059</v>
      </c>
      <c r="Q28" s="127">
        <v>44927</v>
      </c>
      <c r="R28" s="6" t="s">
        <v>14</v>
      </c>
      <c r="S28" s="6" t="s">
        <v>1058</v>
      </c>
      <c r="U28" s="127">
        <v>44927</v>
      </c>
      <c r="V28" t="s">
        <v>1100</v>
      </c>
      <c r="W28" s="6" t="s">
        <v>1166</v>
      </c>
    </row>
    <row r="29" spans="2:23" x14ac:dyDescent="0.2">
      <c r="B29" s="108"/>
      <c r="C29" s="108"/>
      <c r="D29" s="6"/>
      <c r="G29" s="205">
        <v>3</v>
      </c>
      <c r="H29" s="205"/>
      <c r="I29" t="s">
        <v>1068</v>
      </c>
      <c r="J29">
        <v>4</v>
      </c>
      <c r="K29" t="s">
        <v>1069</v>
      </c>
      <c r="L29">
        <v>8</v>
      </c>
      <c r="N29" s="108">
        <v>45323</v>
      </c>
      <c r="O29" t="s">
        <v>1066</v>
      </c>
      <c r="P29" s="6" t="s">
        <v>1058</v>
      </c>
      <c r="Q29" s="127">
        <v>44958</v>
      </c>
      <c r="R29" s="6" t="s">
        <v>1096</v>
      </c>
      <c r="S29" s="6" t="s">
        <v>1063</v>
      </c>
      <c r="U29" s="108">
        <v>44927</v>
      </c>
      <c r="V29" t="s">
        <v>14</v>
      </c>
      <c r="W29" s="6" t="s">
        <v>1167</v>
      </c>
    </row>
    <row r="30" spans="2:23" x14ac:dyDescent="0.2">
      <c r="B30" s="108"/>
      <c r="C30" s="108"/>
      <c r="D30" s="6"/>
      <c r="G30" s="205">
        <v>4</v>
      </c>
      <c r="H30" s="205"/>
      <c r="I30" t="s">
        <v>1070</v>
      </c>
      <c r="J30">
        <v>3</v>
      </c>
      <c r="K30" t="s">
        <v>1071</v>
      </c>
      <c r="L30">
        <v>9</v>
      </c>
      <c r="N30" s="108">
        <v>45323</v>
      </c>
      <c r="O30" t="s">
        <v>1067</v>
      </c>
      <c r="P30" s="6" t="s">
        <v>1059</v>
      </c>
      <c r="Q30" s="127">
        <v>44958</v>
      </c>
      <c r="R30" s="6" t="s">
        <v>1097</v>
      </c>
      <c r="S30" s="6" t="s">
        <v>1058</v>
      </c>
      <c r="U30" s="127">
        <v>44958</v>
      </c>
      <c r="V30" t="s">
        <v>1161</v>
      </c>
      <c r="W30" s="6" t="s">
        <v>1166</v>
      </c>
    </row>
    <row r="31" spans="2:23" x14ac:dyDescent="0.2">
      <c r="B31" s="108"/>
      <c r="C31" s="108"/>
      <c r="D31" s="6"/>
      <c r="G31" s="205">
        <v>5</v>
      </c>
      <c r="H31" s="205"/>
      <c r="I31" t="s">
        <v>1072</v>
      </c>
      <c r="J31">
        <v>2</v>
      </c>
      <c r="K31" t="s">
        <v>1073</v>
      </c>
      <c r="L31">
        <v>10</v>
      </c>
      <c r="N31" s="108">
        <v>45352</v>
      </c>
      <c r="O31" t="s">
        <v>1068</v>
      </c>
      <c r="P31" s="6" t="s">
        <v>1058</v>
      </c>
      <c r="Q31" s="127">
        <v>44986</v>
      </c>
      <c r="R31" s="6" t="s">
        <v>1098</v>
      </c>
      <c r="S31" s="6" t="s">
        <v>1063</v>
      </c>
      <c r="U31" s="127">
        <v>44958</v>
      </c>
      <c r="V31" t="s">
        <v>1100</v>
      </c>
      <c r="W31" s="6" t="s">
        <v>1166</v>
      </c>
    </row>
    <row r="32" spans="2:23" x14ac:dyDescent="0.2">
      <c r="B32" s="108"/>
      <c r="C32" s="108"/>
      <c r="D32" s="6"/>
      <c r="G32" s="205">
        <v>6</v>
      </c>
      <c r="H32" s="205"/>
      <c r="I32" t="s">
        <v>204</v>
      </c>
      <c r="J32">
        <v>1</v>
      </c>
      <c r="K32" s="6" t="s">
        <v>1074</v>
      </c>
      <c r="L32" s="6">
        <v>11</v>
      </c>
      <c r="N32" s="108">
        <v>45352</v>
      </c>
      <c r="O32" t="s">
        <v>1069</v>
      </c>
      <c r="P32" s="6" t="s">
        <v>1059</v>
      </c>
      <c r="Q32" s="108">
        <v>44986</v>
      </c>
      <c r="R32" s="6" t="s">
        <v>1099</v>
      </c>
      <c r="S32" s="6" t="s">
        <v>1058</v>
      </c>
      <c r="U32" s="127">
        <v>44958</v>
      </c>
      <c r="V32" t="s">
        <v>1097</v>
      </c>
      <c r="W32" s="6" t="s">
        <v>1167</v>
      </c>
    </row>
    <row r="33" spans="1:23" x14ac:dyDescent="0.2">
      <c r="G33" s="205">
        <v>7</v>
      </c>
      <c r="H33" s="205"/>
      <c r="I33" t="s">
        <v>1075</v>
      </c>
      <c r="J33">
        <v>12</v>
      </c>
      <c r="K33" s="6" t="s">
        <v>132</v>
      </c>
      <c r="L33" s="6">
        <v>0</v>
      </c>
      <c r="N33" s="108">
        <v>45383</v>
      </c>
      <c r="O33" t="s">
        <v>1070</v>
      </c>
      <c r="P33" s="6" t="s">
        <v>1058</v>
      </c>
      <c r="Q33" s="108">
        <v>45017</v>
      </c>
      <c r="R33" s="6" t="s">
        <v>1100</v>
      </c>
      <c r="S33" s="6" t="s">
        <v>1063</v>
      </c>
      <c r="U33" s="108">
        <v>44986</v>
      </c>
      <c r="V33" t="s">
        <v>1148</v>
      </c>
      <c r="W33" s="6" t="s">
        <v>1166</v>
      </c>
    </row>
    <row r="34" spans="1:23" x14ac:dyDescent="0.2">
      <c r="A34" s="108">
        <v>45566</v>
      </c>
      <c r="G34" s="205">
        <v>8</v>
      </c>
      <c r="H34" s="205"/>
      <c r="I34" s="6" t="s">
        <v>1076</v>
      </c>
      <c r="J34" s="6">
        <v>11</v>
      </c>
      <c r="K34" s="6" t="s">
        <v>1077</v>
      </c>
      <c r="L34" s="6">
        <v>1</v>
      </c>
      <c r="N34" s="108">
        <v>45383</v>
      </c>
      <c r="O34" t="s">
        <v>1071</v>
      </c>
      <c r="P34" s="6" t="s">
        <v>1059</v>
      </c>
      <c r="Q34" s="108">
        <v>45017</v>
      </c>
      <c r="R34" s="6" t="s">
        <v>1101</v>
      </c>
      <c r="S34" s="6" t="s">
        <v>1058</v>
      </c>
      <c r="U34" s="108">
        <v>44986</v>
      </c>
      <c r="V34" t="s">
        <v>1100</v>
      </c>
      <c r="W34" s="6" t="s">
        <v>1166</v>
      </c>
    </row>
    <row r="35" spans="1:23" x14ac:dyDescent="0.2">
      <c r="G35" s="205">
        <v>9</v>
      </c>
      <c r="H35" s="205"/>
      <c r="I35" s="6" t="s">
        <v>1078</v>
      </c>
      <c r="J35" s="6">
        <v>10</v>
      </c>
      <c r="K35" t="s">
        <v>138</v>
      </c>
      <c r="L35" s="6">
        <v>2</v>
      </c>
      <c r="N35" s="108">
        <v>45413</v>
      </c>
      <c r="O35" t="s">
        <v>1072</v>
      </c>
      <c r="P35" s="6" t="s">
        <v>1058</v>
      </c>
      <c r="Q35" s="108">
        <v>45047</v>
      </c>
      <c r="R35" s="6" t="s">
        <v>1102</v>
      </c>
      <c r="S35" s="6" t="s">
        <v>1063</v>
      </c>
      <c r="U35" s="108">
        <v>44986</v>
      </c>
      <c r="V35" t="s">
        <v>1099</v>
      </c>
      <c r="W35" s="6" t="s">
        <v>1167</v>
      </c>
    </row>
    <row r="36" spans="1:23" x14ac:dyDescent="0.2">
      <c r="G36" s="205">
        <v>10</v>
      </c>
      <c r="H36" s="205"/>
      <c r="I36" t="s">
        <v>1079</v>
      </c>
      <c r="J36" s="6">
        <v>9</v>
      </c>
      <c r="K36" t="s">
        <v>1080</v>
      </c>
      <c r="L36" s="6">
        <v>3</v>
      </c>
      <c r="N36" s="108">
        <v>45413</v>
      </c>
      <c r="O36" t="s">
        <v>1073</v>
      </c>
      <c r="P36" s="6" t="s">
        <v>1059</v>
      </c>
      <c r="Q36" s="108">
        <v>45047</v>
      </c>
      <c r="R36" s="6" t="s">
        <v>1103</v>
      </c>
      <c r="S36" s="6" t="s">
        <v>1058</v>
      </c>
      <c r="U36" s="108">
        <v>45017</v>
      </c>
      <c r="V36" t="s">
        <v>1100</v>
      </c>
      <c r="W36" s="6" t="s">
        <v>1166</v>
      </c>
    </row>
    <row r="37" spans="1:23" x14ac:dyDescent="0.2">
      <c r="G37" s="205">
        <v>11</v>
      </c>
      <c r="H37" s="205"/>
      <c r="I37" t="s">
        <v>1081</v>
      </c>
      <c r="J37" s="6">
        <v>8</v>
      </c>
      <c r="K37" t="s">
        <v>1082</v>
      </c>
      <c r="L37" s="6">
        <v>4</v>
      </c>
      <c r="N37" s="108">
        <v>45444</v>
      </c>
      <c r="O37" t="s">
        <v>204</v>
      </c>
      <c r="P37" s="6" t="s">
        <v>1058</v>
      </c>
      <c r="Q37" s="108">
        <v>45078</v>
      </c>
      <c r="R37" s="6" t="s">
        <v>1104</v>
      </c>
      <c r="S37" s="6" t="s">
        <v>1063</v>
      </c>
      <c r="U37" s="108">
        <v>45017</v>
      </c>
      <c r="V37" t="s">
        <v>132</v>
      </c>
      <c r="W37" s="6" t="s">
        <v>1166</v>
      </c>
    </row>
    <row r="38" spans="1:23" x14ac:dyDescent="0.2">
      <c r="G38" s="205">
        <v>12</v>
      </c>
      <c r="H38" s="205"/>
      <c r="I38" t="s">
        <v>1083</v>
      </c>
      <c r="J38" s="6">
        <v>7</v>
      </c>
      <c r="K38" t="s">
        <v>1084</v>
      </c>
      <c r="L38" s="6">
        <v>5</v>
      </c>
      <c r="N38" s="108">
        <v>45444</v>
      </c>
      <c r="O38" s="6" t="s">
        <v>1074</v>
      </c>
      <c r="P38" s="6" t="s">
        <v>1059</v>
      </c>
      <c r="Q38" s="108">
        <v>45078</v>
      </c>
      <c r="R38" s="6" t="s">
        <v>1105</v>
      </c>
      <c r="S38" s="6" t="s">
        <v>1058</v>
      </c>
      <c r="U38" s="108">
        <v>45017</v>
      </c>
      <c r="V38" t="s">
        <v>1101</v>
      </c>
      <c r="W38" s="6" t="s">
        <v>1167</v>
      </c>
    </row>
    <row r="39" spans="1:23" x14ac:dyDescent="0.2">
      <c r="N39" s="108">
        <v>45474</v>
      </c>
      <c r="O39" t="s">
        <v>1075</v>
      </c>
      <c r="P39" s="6" t="s">
        <v>1059</v>
      </c>
      <c r="Q39" s="108">
        <v>45108</v>
      </c>
      <c r="R39" s="6" t="s">
        <v>1080</v>
      </c>
      <c r="S39" s="6" t="s">
        <v>1063</v>
      </c>
      <c r="U39" s="108">
        <v>45047</v>
      </c>
      <c r="V39" t="s">
        <v>1102</v>
      </c>
      <c r="W39" s="6" t="s">
        <v>1166</v>
      </c>
    </row>
    <row r="40" spans="1:23" x14ac:dyDescent="0.2">
      <c r="N40" s="108">
        <v>45474</v>
      </c>
      <c r="O40" s="6" t="s">
        <v>132</v>
      </c>
      <c r="P40" s="6" t="s">
        <v>1059</v>
      </c>
      <c r="Q40" s="108">
        <v>45108</v>
      </c>
      <c r="R40" s="6" t="s">
        <v>1079</v>
      </c>
      <c r="S40" s="6" t="s">
        <v>1058</v>
      </c>
      <c r="U40" s="108">
        <v>45047</v>
      </c>
      <c r="V40" t="s">
        <v>1101</v>
      </c>
      <c r="W40" s="6" t="s">
        <v>1167</v>
      </c>
    </row>
    <row r="41" spans="1:23" x14ac:dyDescent="0.2">
      <c r="N41" s="108">
        <v>45505</v>
      </c>
      <c r="O41" s="6" t="s">
        <v>1076</v>
      </c>
      <c r="P41" s="6" t="s">
        <v>1059</v>
      </c>
      <c r="Q41" s="108">
        <v>45139</v>
      </c>
      <c r="R41" s="6" t="s">
        <v>1106</v>
      </c>
      <c r="S41" s="6" t="s">
        <v>1063</v>
      </c>
      <c r="U41" s="108">
        <v>45047</v>
      </c>
      <c r="V41" t="s">
        <v>1145</v>
      </c>
      <c r="W41" s="6" t="s">
        <v>1168</v>
      </c>
    </row>
    <row r="42" spans="1:23" x14ac:dyDescent="0.2">
      <c r="N42" s="108">
        <v>45505</v>
      </c>
      <c r="O42" s="6" t="s">
        <v>1077</v>
      </c>
      <c r="P42" s="6" t="s">
        <v>1060</v>
      </c>
      <c r="Q42" s="108">
        <v>45139</v>
      </c>
      <c r="R42" s="6" t="s">
        <v>1107</v>
      </c>
      <c r="S42" s="6" t="s">
        <v>1058</v>
      </c>
      <c r="U42" s="108">
        <v>45078</v>
      </c>
      <c r="V42" t="s">
        <v>1104</v>
      </c>
      <c r="W42" s="6" t="s">
        <v>1166</v>
      </c>
    </row>
    <row r="43" spans="1:23" x14ac:dyDescent="0.2">
      <c r="I43" s="6" t="s">
        <v>1094</v>
      </c>
      <c r="J43" t="s">
        <v>1112</v>
      </c>
      <c r="K43" t="s">
        <v>1110</v>
      </c>
      <c r="L43" t="s">
        <v>1111</v>
      </c>
      <c r="N43" s="108">
        <v>45536</v>
      </c>
      <c r="O43" s="6" t="s">
        <v>1078</v>
      </c>
      <c r="P43" s="6" t="s">
        <v>1059</v>
      </c>
      <c r="Q43" s="108">
        <v>45170</v>
      </c>
      <c r="R43" s="6" t="s">
        <v>12</v>
      </c>
      <c r="S43" s="6" t="s">
        <v>1063</v>
      </c>
      <c r="U43" s="108">
        <v>45078</v>
      </c>
      <c r="V43" t="s">
        <v>1101</v>
      </c>
      <c r="W43" s="6" t="s">
        <v>1167</v>
      </c>
    </row>
    <row r="44" spans="1:23" x14ac:dyDescent="0.2">
      <c r="H44">
        <v>1</v>
      </c>
      <c r="I44" s="6" t="s">
        <v>1095</v>
      </c>
      <c r="J44">
        <v>9</v>
      </c>
      <c r="K44" s="6" t="s">
        <v>14</v>
      </c>
      <c r="L44">
        <v>3</v>
      </c>
      <c r="N44" s="108">
        <v>45536</v>
      </c>
      <c r="O44" t="s">
        <v>138</v>
      </c>
      <c r="P44" s="6" t="s">
        <v>1060</v>
      </c>
      <c r="Q44" s="108">
        <v>45170</v>
      </c>
      <c r="R44" s="6" t="s">
        <v>1109</v>
      </c>
      <c r="S44" s="6" t="s">
        <v>1058</v>
      </c>
      <c r="U44" s="108">
        <v>45078</v>
      </c>
      <c r="V44" t="s">
        <v>149</v>
      </c>
      <c r="W44" s="6" t="s">
        <v>1168</v>
      </c>
    </row>
    <row r="45" spans="1:23" x14ac:dyDescent="0.2">
      <c r="H45">
        <v>2</v>
      </c>
      <c r="I45" s="6" t="s">
        <v>1096</v>
      </c>
      <c r="J45">
        <v>8</v>
      </c>
      <c r="K45" s="6" t="s">
        <v>1097</v>
      </c>
      <c r="L45">
        <v>4</v>
      </c>
      <c r="N45" s="108">
        <v>45566</v>
      </c>
      <c r="O45" t="s">
        <v>1079</v>
      </c>
      <c r="P45" s="6" t="s">
        <v>1059</v>
      </c>
      <c r="Q45" s="108">
        <v>45200</v>
      </c>
      <c r="R45" s="6" t="s">
        <v>1108</v>
      </c>
      <c r="S45" s="6" t="s">
        <v>1058</v>
      </c>
      <c r="U45" s="108">
        <v>45108</v>
      </c>
      <c r="V45" t="s">
        <v>1080</v>
      </c>
      <c r="W45" s="6" t="s">
        <v>1166</v>
      </c>
    </row>
    <row r="46" spans="1:23" x14ac:dyDescent="0.2">
      <c r="H46">
        <v>3</v>
      </c>
      <c r="I46" s="6" t="s">
        <v>1098</v>
      </c>
      <c r="J46">
        <v>7</v>
      </c>
      <c r="K46" s="6" t="s">
        <v>1099</v>
      </c>
      <c r="L46">
        <v>5</v>
      </c>
      <c r="N46" s="108">
        <v>45566</v>
      </c>
      <c r="O46" t="s">
        <v>1080</v>
      </c>
      <c r="P46" s="6" t="s">
        <v>1060</v>
      </c>
      <c r="Q46" s="108">
        <v>45200</v>
      </c>
      <c r="R46" s="6" t="s">
        <v>132</v>
      </c>
      <c r="S46" s="6" t="s">
        <v>1058</v>
      </c>
      <c r="U46" s="108">
        <v>45108</v>
      </c>
      <c r="V46" t="s">
        <v>1101</v>
      </c>
      <c r="W46" s="6" t="s">
        <v>1167</v>
      </c>
    </row>
    <row r="47" spans="1:23" x14ac:dyDescent="0.2">
      <c r="H47">
        <v>4</v>
      </c>
      <c r="I47" s="6" t="s">
        <v>1100</v>
      </c>
      <c r="J47">
        <v>6</v>
      </c>
      <c r="K47" s="6" t="s">
        <v>1101</v>
      </c>
      <c r="L47">
        <v>6</v>
      </c>
      <c r="N47" s="108">
        <v>45597</v>
      </c>
      <c r="O47" t="s">
        <v>1081</v>
      </c>
      <c r="P47" s="6" t="s">
        <v>1059</v>
      </c>
      <c r="Q47" s="108">
        <v>45231</v>
      </c>
      <c r="R47" s="6" t="s">
        <v>1117</v>
      </c>
      <c r="S47" s="6" t="s">
        <v>1058</v>
      </c>
      <c r="U47" s="108">
        <v>45108</v>
      </c>
      <c r="V47" t="s">
        <v>1070</v>
      </c>
      <c r="W47" s="6" t="s">
        <v>1168</v>
      </c>
    </row>
    <row r="48" spans="1:23" x14ac:dyDescent="0.2">
      <c r="H48">
        <v>5</v>
      </c>
      <c r="I48" s="6" t="s">
        <v>1102</v>
      </c>
      <c r="J48">
        <v>5</v>
      </c>
      <c r="K48" s="6" t="s">
        <v>1103</v>
      </c>
      <c r="L48">
        <v>7</v>
      </c>
      <c r="N48" s="108">
        <v>45597</v>
      </c>
      <c r="O48" t="s">
        <v>1082</v>
      </c>
      <c r="P48" s="6" t="s">
        <v>1060</v>
      </c>
      <c r="Q48" s="108">
        <v>45231</v>
      </c>
      <c r="R48" s="6" t="s">
        <v>142</v>
      </c>
      <c r="S48" s="6" t="s">
        <v>1059</v>
      </c>
      <c r="U48" s="108">
        <v>45139</v>
      </c>
      <c r="V48" t="s">
        <v>1106</v>
      </c>
      <c r="W48" s="6" t="s">
        <v>1166</v>
      </c>
    </row>
    <row r="49" spans="5:24" x14ac:dyDescent="0.2">
      <c r="H49">
        <v>6</v>
      </c>
      <c r="I49" s="6" t="s">
        <v>1104</v>
      </c>
      <c r="J49">
        <v>4</v>
      </c>
      <c r="K49" s="6" t="s">
        <v>1105</v>
      </c>
      <c r="L49">
        <v>8</v>
      </c>
      <c r="N49" s="108">
        <v>45627</v>
      </c>
      <c r="O49" t="s">
        <v>1083</v>
      </c>
      <c r="P49" s="6" t="s">
        <v>1059</v>
      </c>
      <c r="Q49" s="108">
        <v>45261</v>
      </c>
      <c r="R49" s="6" t="s">
        <v>1118</v>
      </c>
      <c r="S49" s="6" t="s">
        <v>1058</v>
      </c>
      <c r="U49" s="108">
        <v>45139</v>
      </c>
      <c r="V49" t="s">
        <v>1101</v>
      </c>
      <c r="W49" s="6" t="s">
        <v>1167</v>
      </c>
    </row>
    <row r="50" spans="5:24" x14ac:dyDescent="0.2">
      <c r="H50">
        <v>7</v>
      </c>
      <c r="I50" s="6" t="s">
        <v>1080</v>
      </c>
      <c r="J50">
        <v>3</v>
      </c>
      <c r="K50" s="6" t="s">
        <v>1079</v>
      </c>
      <c r="L50">
        <v>9</v>
      </c>
      <c r="N50" s="108">
        <v>45627</v>
      </c>
      <c r="O50" t="s">
        <v>1084</v>
      </c>
      <c r="P50" s="6" t="s">
        <v>1060</v>
      </c>
      <c r="Q50" s="108">
        <v>45261</v>
      </c>
      <c r="R50" s="6" t="s">
        <v>143</v>
      </c>
      <c r="S50" s="6" t="s">
        <v>1059</v>
      </c>
      <c r="U50" s="108">
        <v>45139</v>
      </c>
      <c r="V50" t="s">
        <v>1164</v>
      </c>
      <c r="W50" s="6" t="s">
        <v>1168</v>
      </c>
    </row>
    <row r="51" spans="5:24" x14ac:dyDescent="0.2">
      <c r="H51">
        <v>8</v>
      </c>
      <c r="I51" s="6" t="s">
        <v>1106</v>
      </c>
      <c r="J51">
        <v>2</v>
      </c>
      <c r="K51" s="6" t="s">
        <v>1107</v>
      </c>
      <c r="L51">
        <v>10</v>
      </c>
      <c r="N51" s="108">
        <v>45658</v>
      </c>
      <c r="O51" t="s">
        <v>1064</v>
      </c>
      <c r="P51" s="6" t="s">
        <v>1059</v>
      </c>
      <c r="Q51" s="108">
        <v>45292</v>
      </c>
      <c r="R51" s="6" t="s">
        <v>1095</v>
      </c>
      <c r="S51" s="6" t="s">
        <v>1058</v>
      </c>
      <c r="U51" s="108">
        <v>45170</v>
      </c>
      <c r="V51" t="s">
        <v>12</v>
      </c>
      <c r="W51" s="6" t="s">
        <v>1166</v>
      </c>
    </row>
    <row r="52" spans="5:24" x14ac:dyDescent="0.2">
      <c r="H52">
        <v>9</v>
      </c>
      <c r="I52" s="6" t="s">
        <v>12</v>
      </c>
      <c r="J52">
        <v>1</v>
      </c>
      <c r="K52" s="6" t="s">
        <v>1109</v>
      </c>
      <c r="L52">
        <v>11</v>
      </c>
      <c r="N52" s="108">
        <v>45658</v>
      </c>
      <c r="O52" t="s">
        <v>1065</v>
      </c>
      <c r="P52" s="6" t="s">
        <v>1060</v>
      </c>
      <c r="Q52" s="108">
        <v>45292</v>
      </c>
      <c r="R52" s="6" t="s">
        <v>14</v>
      </c>
      <c r="S52" s="6" t="s">
        <v>1059</v>
      </c>
      <c r="U52" s="108">
        <v>45170</v>
      </c>
      <c r="V52" t="s">
        <v>1101</v>
      </c>
      <c r="W52" s="6" t="s">
        <v>1167</v>
      </c>
    </row>
    <row r="53" spans="5:24" x14ac:dyDescent="0.2">
      <c r="H53">
        <v>10</v>
      </c>
      <c r="I53" s="6" t="s">
        <v>1108</v>
      </c>
      <c r="J53">
        <v>12</v>
      </c>
      <c r="K53" s="6" t="s">
        <v>132</v>
      </c>
      <c r="L53">
        <v>0</v>
      </c>
      <c r="N53" s="108">
        <v>45689</v>
      </c>
      <c r="O53" t="s">
        <v>1066</v>
      </c>
      <c r="P53" s="6" t="s">
        <v>1059</v>
      </c>
      <c r="Q53" s="108">
        <v>45323</v>
      </c>
      <c r="R53" s="6" t="s">
        <v>1096</v>
      </c>
      <c r="S53" s="6" t="s">
        <v>1058</v>
      </c>
      <c r="U53" s="108">
        <v>45170</v>
      </c>
      <c r="V53" t="s">
        <v>1165</v>
      </c>
      <c r="W53" s="6" t="s">
        <v>1168</v>
      </c>
    </row>
    <row r="54" spans="5:24" x14ac:dyDescent="0.2">
      <c r="H54">
        <v>11</v>
      </c>
      <c r="I54" s="6" t="s">
        <v>1117</v>
      </c>
      <c r="J54">
        <v>11</v>
      </c>
      <c r="K54" s="6" t="s">
        <v>142</v>
      </c>
      <c r="L54">
        <v>1</v>
      </c>
      <c r="N54" s="108">
        <v>45689</v>
      </c>
      <c r="O54" t="s">
        <v>1067</v>
      </c>
      <c r="P54" s="6" t="s">
        <v>1060</v>
      </c>
      <c r="Q54" s="108">
        <v>45323</v>
      </c>
      <c r="R54" s="6" t="s">
        <v>1097</v>
      </c>
      <c r="S54" s="6" t="s">
        <v>1059</v>
      </c>
      <c r="U54" s="108">
        <v>45200</v>
      </c>
      <c r="V54" t="s">
        <v>1101</v>
      </c>
      <c r="W54" s="6" t="s">
        <v>1167</v>
      </c>
    </row>
    <row r="55" spans="5:24" x14ac:dyDescent="0.2">
      <c r="H55">
        <v>12</v>
      </c>
      <c r="I55" s="6" t="s">
        <v>1118</v>
      </c>
      <c r="J55">
        <v>10</v>
      </c>
      <c r="K55" s="6" t="s">
        <v>143</v>
      </c>
      <c r="L55">
        <v>2</v>
      </c>
      <c r="N55" s="108">
        <v>45717</v>
      </c>
      <c r="O55" t="s">
        <v>1068</v>
      </c>
      <c r="P55" s="6" t="s">
        <v>1059</v>
      </c>
      <c r="Q55" s="108">
        <v>45352</v>
      </c>
      <c r="R55" s="6" t="s">
        <v>1098</v>
      </c>
      <c r="S55" s="6" t="s">
        <v>1058</v>
      </c>
      <c r="U55" s="108">
        <v>45200</v>
      </c>
      <c r="V55" t="s">
        <v>1100</v>
      </c>
      <c r="W55" s="6" t="s">
        <v>1168</v>
      </c>
    </row>
    <row r="56" spans="5:24" x14ac:dyDescent="0.2">
      <c r="N56" s="108">
        <v>45717</v>
      </c>
      <c r="O56" t="s">
        <v>1069</v>
      </c>
      <c r="P56" s="6" t="s">
        <v>1060</v>
      </c>
      <c r="Q56" s="108">
        <v>45352</v>
      </c>
      <c r="R56" s="6" t="s">
        <v>1099</v>
      </c>
      <c r="S56" s="6" t="s">
        <v>1059</v>
      </c>
      <c r="U56" s="108">
        <v>45200</v>
      </c>
      <c r="V56" t="s">
        <v>132</v>
      </c>
      <c r="W56" s="6" t="s">
        <v>1168</v>
      </c>
    </row>
    <row r="57" spans="5:24" x14ac:dyDescent="0.2">
      <c r="N57" s="108">
        <v>45748</v>
      </c>
      <c r="O57" t="s">
        <v>1070</v>
      </c>
      <c r="P57" s="6" t="s">
        <v>1059</v>
      </c>
      <c r="Q57" s="108">
        <v>45383</v>
      </c>
      <c r="R57" s="6" t="s">
        <v>1100</v>
      </c>
      <c r="S57" s="6" t="s">
        <v>1058</v>
      </c>
      <c r="U57" s="108">
        <v>45231</v>
      </c>
      <c r="V57" t="s">
        <v>1162</v>
      </c>
      <c r="W57" s="6" t="s">
        <v>1167</v>
      </c>
    </row>
    <row r="58" spans="5:24" x14ac:dyDescent="0.2">
      <c r="N58" s="108">
        <v>45748</v>
      </c>
      <c r="O58" t="s">
        <v>1071</v>
      </c>
      <c r="P58" s="6" t="s">
        <v>1060</v>
      </c>
      <c r="Q58" s="108">
        <v>45383</v>
      </c>
      <c r="R58" s="6" t="s">
        <v>1101</v>
      </c>
      <c r="S58" s="6" t="s">
        <v>1059</v>
      </c>
      <c r="U58" s="108">
        <v>45231</v>
      </c>
      <c r="V58" t="s">
        <v>1100</v>
      </c>
      <c r="W58" s="6" t="s">
        <v>1168</v>
      </c>
    </row>
    <row r="59" spans="5:24" x14ac:dyDescent="0.2">
      <c r="N59" s="108">
        <v>45778</v>
      </c>
      <c r="O59" t="s">
        <v>1072</v>
      </c>
      <c r="P59" s="6" t="s">
        <v>1059</v>
      </c>
      <c r="Q59" s="108">
        <v>45413</v>
      </c>
      <c r="R59" s="6" t="s">
        <v>1102</v>
      </c>
      <c r="S59" s="6" t="s">
        <v>1058</v>
      </c>
      <c r="U59" s="108">
        <v>45231</v>
      </c>
      <c r="V59" t="s">
        <v>142</v>
      </c>
      <c r="W59" s="6" t="s">
        <v>1169</v>
      </c>
    </row>
    <row r="60" spans="5:24" x14ac:dyDescent="0.2">
      <c r="E60" s="6" t="s">
        <v>1059</v>
      </c>
      <c r="F60" s="108">
        <v>45474</v>
      </c>
      <c r="G60">
        <v>6.6E-3</v>
      </c>
      <c r="H60">
        <f>VLOOKUP(A34,F60:G137,2,FALSE)</f>
        <v>6.6E-3</v>
      </c>
      <c r="N60" s="108">
        <v>45778</v>
      </c>
      <c r="O60" t="s">
        <v>1073</v>
      </c>
      <c r="P60" s="6" t="s">
        <v>1060</v>
      </c>
      <c r="Q60" s="108">
        <v>45413</v>
      </c>
      <c r="R60" s="6" t="s">
        <v>1103</v>
      </c>
      <c r="S60" s="6" t="s">
        <v>1059</v>
      </c>
      <c r="U60" s="108">
        <v>45261</v>
      </c>
      <c r="V60" t="s">
        <v>1163</v>
      </c>
      <c r="W60" s="6" t="s">
        <v>1167</v>
      </c>
    </row>
    <row r="61" spans="5:24" x14ac:dyDescent="0.2">
      <c r="E61" s="6" t="s">
        <v>1059</v>
      </c>
      <c r="F61" s="108">
        <v>45505</v>
      </c>
      <c r="G61">
        <v>6.6E-3</v>
      </c>
      <c r="N61" s="108">
        <v>45809</v>
      </c>
      <c r="O61" t="s">
        <v>204</v>
      </c>
      <c r="P61" s="6" t="s">
        <v>1059</v>
      </c>
      <c r="Q61" s="108">
        <v>45444</v>
      </c>
      <c r="R61" s="6" t="s">
        <v>1104</v>
      </c>
      <c r="S61" s="6" t="s">
        <v>1058</v>
      </c>
      <c r="U61" s="108">
        <v>45261</v>
      </c>
      <c r="V61" t="s">
        <v>1100</v>
      </c>
      <c r="W61" s="6" t="s">
        <v>1168</v>
      </c>
    </row>
    <row r="62" spans="5:24" x14ac:dyDescent="0.2">
      <c r="E62" s="6" t="s">
        <v>1059</v>
      </c>
      <c r="F62" s="108">
        <v>45536</v>
      </c>
      <c r="G62">
        <v>6.6E-3</v>
      </c>
      <c r="N62" s="108">
        <v>45809</v>
      </c>
      <c r="O62" s="6" t="s">
        <v>1074</v>
      </c>
      <c r="P62" s="6" t="s">
        <v>1060</v>
      </c>
      <c r="Q62" s="108">
        <v>45444</v>
      </c>
      <c r="R62" s="6" t="s">
        <v>1105</v>
      </c>
      <c r="S62" s="6" t="s">
        <v>1059</v>
      </c>
      <c r="U62" s="108">
        <v>45261</v>
      </c>
      <c r="V62" t="s">
        <v>143</v>
      </c>
      <c r="W62" s="6" t="s">
        <v>1169</v>
      </c>
    </row>
    <row r="63" spans="5:24" x14ac:dyDescent="0.2">
      <c r="E63" s="6" t="s">
        <v>1059</v>
      </c>
      <c r="F63" s="108">
        <v>45566</v>
      </c>
      <c r="G63">
        <v>6.6E-3</v>
      </c>
      <c r="N63" s="108">
        <v>45839</v>
      </c>
      <c r="O63" t="s">
        <v>1075</v>
      </c>
      <c r="P63" s="6" t="s">
        <v>1060</v>
      </c>
      <c r="Q63" s="108">
        <v>45474</v>
      </c>
      <c r="R63" s="6" t="s">
        <v>1080</v>
      </c>
      <c r="S63" s="6" t="s">
        <v>1058</v>
      </c>
      <c r="U63" s="108">
        <v>45292</v>
      </c>
      <c r="V63" t="s">
        <v>150</v>
      </c>
      <c r="W63" s="6" t="s">
        <v>1167</v>
      </c>
      <c r="X63" s="6"/>
    </row>
    <row r="64" spans="5:24" x14ac:dyDescent="0.2">
      <c r="E64" s="6" t="s">
        <v>1059</v>
      </c>
      <c r="F64" s="108">
        <v>45597</v>
      </c>
      <c r="G64">
        <v>6.6E-3</v>
      </c>
      <c r="N64" s="108">
        <v>45839</v>
      </c>
      <c r="O64" s="6" t="s">
        <v>132</v>
      </c>
      <c r="P64" s="6" t="s">
        <v>1060</v>
      </c>
      <c r="Q64" s="108">
        <v>45474</v>
      </c>
      <c r="R64" s="6" t="s">
        <v>1079</v>
      </c>
      <c r="S64" s="6" t="s">
        <v>1059</v>
      </c>
      <c r="U64" s="108">
        <v>45292</v>
      </c>
      <c r="V64" t="s">
        <v>1100</v>
      </c>
      <c r="W64" s="6" t="s">
        <v>1168</v>
      </c>
      <c r="X64" s="6"/>
    </row>
    <row r="65" spans="5:24" x14ac:dyDescent="0.2">
      <c r="E65" s="6" t="s">
        <v>1059</v>
      </c>
      <c r="F65" s="108">
        <v>45627</v>
      </c>
      <c r="G65">
        <v>6.6E-3</v>
      </c>
      <c r="N65" s="108">
        <v>45870</v>
      </c>
      <c r="O65" s="6" t="s">
        <v>1076</v>
      </c>
      <c r="P65" s="6" t="s">
        <v>1060</v>
      </c>
      <c r="Q65" s="108">
        <v>45505</v>
      </c>
      <c r="R65" s="6" t="s">
        <v>1106</v>
      </c>
      <c r="S65" s="6" t="s">
        <v>1058</v>
      </c>
      <c r="U65" s="108">
        <v>45292</v>
      </c>
      <c r="V65" t="s">
        <v>14</v>
      </c>
      <c r="W65" s="6" t="s">
        <v>1169</v>
      </c>
      <c r="X65" s="6"/>
    </row>
    <row r="66" spans="5:24" x14ac:dyDescent="0.2">
      <c r="E66" s="6" t="s">
        <v>1059</v>
      </c>
      <c r="F66" s="108">
        <v>45658</v>
      </c>
      <c r="G66">
        <v>6.6E-3</v>
      </c>
      <c r="N66" s="108">
        <v>45870</v>
      </c>
      <c r="O66" s="6" t="s">
        <v>1077</v>
      </c>
      <c r="P66" s="6" t="s">
        <v>1061</v>
      </c>
      <c r="Q66" s="108">
        <v>45505</v>
      </c>
      <c r="R66" s="6" t="s">
        <v>1107</v>
      </c>
      <c r="S66" s="6" t="s">
        <v>1059</v>
      </c>
      <c r="U66" s="108">
        <v>45323</v>
      </c>
      <c r="V66" t="s">
        <v>1161</v>
      </c>
      <c r="W66" s="6" t="s">
        <v>1167</v>
      </c>
      <c r="X66" s="6"/>
    </row>
    <row r="67" spans="5:24" x14ac:dyDescent="0.2">
      <c r="E67" s="6" t="s">
        <v>1059</v>
      </c>
      <c r="F67" s="108">
        <v>45689</v>
      </c>
      <c r="G67">
        <v>6.6E-3</v>
      </c>
      <c r="N67" s="108">
        <v>45901</v>
      </c>
      <c r="O67" s="6" t="s">
        <v>1078</v>
      </c>
      <c r="P67" s="6" t="s">
        <v>1060</v>
      </c>
      <c r="Q67" s="108">
        <v>45536</v>
      </c>
      <c r="R67" s="6" t="s">
        <v>12</v>
      </c>
      <c r="S67" s="6" t="s">
        <v>1058</v>
      </c>
      <c r="U67" s="108">
        <v>45323</v>
      </c>
      <c r="V67" t="s">
        <v>1100</v>
      </c>
      <c r="W67" s="6" t="s">
        <v>1168</v>
      </c>
      <c r="X67" s="6"/>
    </row>
    <row r="68" spans="5:24" x14ac:dyDescent="0.2">
      <c r="E68" s="6" t="s">
        <v>1059</v>
      </c>
      <c r="F68" s="108">
        <v>45717</v>
      </c>
      <c r="G68">
        <v>6.6E-3</v>
      </c>
      <c r="I68" s="6"/>
      <c r="N68" s="108">
        <v>45901</v>
      </c>
      <c r="O68" t="s">
        <v>138</v>
      </c>
      <c r="P68" s="6" t="s">
        <v>1061</v>
      </c>
      <c r="Q68" s="108">
        <v>45536</v>
      </c>
      <c r="R68" s="6" t="s">
        <v>1109</v>
      </c>
      <c r="S68" s="6" t="s">
        <v>1059</v>
      </c>
      <c r="U68" s="108">
        <v>45323</v>
      </c>
      <c r="V68" t="s">
        <v>1097</v>
      </c>
      <c r="W68" s="6" t="s">
        <v>1169</v>
      </c>
      <c r="X68" s="6"/>
    </row>
    <row r="69" spans="5:24" x14ac:dyDescent="0.2">
      <c r="E69" s="6" t="s">
        <v>1059</v>
      </c>
      <c r="F69" s="108">
        <v>45748</v>
      </c>
      <c r="G69">
        <v>6.6E-3</v>
      </c>
      <c r="I69" s="6"/>
      <c r="N69" s="108">
        <v>45931</v>
      </c>
      <c r="O69" t="s">
        <v>1079</v>
      </c>
      <c r="P69" s="6" t="s">
        <v>1060</v>
      </c>
      <c r="Q69" s="108">
        <v>45566</v>
      </c>
      <c r="R69" s="6" t="s">
        <v>1108</v>
      </c>
      <c r="S69" s="6" t="s">
        <v>1059</v>
      </c>
      <c r="U69" s="108">
        <v>45352</v>
      </c>
      <c r="V69" t="s">
        <v>1148</v>
      </c>
      <c r="W69" s="6" t="s">
        <v>1167</v>
      </c>
      <c r="X69" s="6"/>
    </row>
    <row r="70" spans="5:24" x14ac:dyDescent="0.2">
      <c r="E70" s="6" t="s">
        <v>1059</v>
      </c>
      <c r="F70" s="108">
        <v>45778</v>
      </c>
      <c r="G70">
        <v>6.6E-3</v>
      </c>
      <c r="I70" s="6"/>
      <c r="N70" s="108">
        <v>45931</v>
      </c>
      <c r="O70" t="s">
        <v>1080</v>
      </c>
      <c r="P70" s="6" t="s">
        <v>1061</v>
      </c>
      <c r="Q70" s="108">
        <v>45566</v>
      </c>
      <c r="R70" s="6" t="s">
        <v>132</v>
      </c>
      <c r="S70" s="6" t="s">
        <v>1059</v>
      </c>
      <c r="U70" s="108">
        <v>45352</v>
      </c>
      <c r="V70" t="s">
        <v>1100</v>
      </c>
      <c r="W70" s="6" t="s">
        <v>1168</v>
      </c>
      <c r="X70" s="6"/>
    </row>
    <row r="71" spans="5:24" x14ac:dyDescent="0.2">
      <c r="E71" s="6" t="s">
        <v>1059</v>
      </c>
      <c r="F71" s="108">
        <v>45809</v>
      </c>
      <c r="G71">
        <v>6.6E-3</v>
      </c>
      <c r="I71" s="6"/>
      <c r="N71" s="108">
        <v>45962</v>
      </c>
      <c r="O71" t="s">
        <v>1081</v>
      </c>
      <c r="P71" s="6" t="s">
        <v>1060</v>
      </c>
      <c r="Q71" s="108">
        <v>45597</v>
      </c>
      <c r="R71" s="6" t="s">
        <v>1117</v>
      </c>
      <c r="S71" s="6" t="s">
        <v>1059</v>
      </c>
      <c r="U71" s="108">
        <v>45352</v>
      </c>
      <c r="V71" t="s">
        <v>1099</v>
      </c>
      <c r="W71" s="6" t="s">
        <v>1169</v>
      </c>
      <c r="X71" s="6"/>
    </row>
    <row r="72" spans="5:24" x14ac:dyDescent="0.2">
      <c r="E72" s="6" t="s">
        <v>1060</v>
      </c>
      <c r="F72" s="108">
        <v>45839</v>
      </c>
      <c r="G72">
        <v>7.0000000000000001E-3</v>
      </c>
      <c r="I72" s="6"/>
      <c r="N72" s="108">
        <v>45962</v>
      </c>
      <c r="O72" t="s">
        <v>1082</v>
      </c>
      <c r="P72" s="6" t="s">
        <v>1061</v>
      </c>
      <c r="Q72" s="108">
        <v>45597</v>
      </c>
      <c r="R72" s="6" t="s">
        <v>142</v>
      </c>
      <c r="S72" s="6" t="s">
        <v>1060</v>
      </c>
      <c r="U72" s="108">
        <v>45383</v>
      </c>
      <c r="V72" t="s">
        <v>1100</v>
      </c>
      <c r="W72" s="6" t="s">
        <v>1168</v>
      </c>
      <c r="X72" s="6"/>
    </row>
    <row r="73" spans="5:24" x14ac:dyDescent="0.2">
      <c r="E73" s="6" t="s">
        <v>1060</v>
      </c>
      <c r="F73" s="108">
        <v>45870</v>
      </c>
      <c r="G73">
        <v>7.0000000000000001E-3</v>
      </c>
      <c r="I73" s="6"/>
      <c r="N73" s="108">
        <v>45992</v>
      </c>
      <c r="O73" t="s">
        <v>1083</v>
      </c>
      <c r="P73" s="6" t="s">
        <v>1060</v>
      </c>
      <c r="Q73" s="108">
        <v>45627</v>
      </c>
      <c r="R73" s="6" t="s">
        <v>1118</v>
      </c>
      <c r="S73" s="6" t="s">
        <v>1059</v>
      </c>
      <c r="U73" s="108">
        <v>45383</v>
      </c>
      <c r="V73" t="s">
        <v>132</v>
      </c>
      <c r="W73" s="6" t="s">
        <v>1168</v>
      </c>
      <c r="X73" s="6"/>
    </row>
    <row r="74" spans="5:24" x14ac:dyDescent="0.2">
      <c r="E74" s="6" t="s">
        <v>1060</v>
      </c>
      <c r="F74" s="108">
        <v>45901</v>
      </c>
      <c r="G74">
        <v>7.0000000000000001E-3</v>
      </c>
      <c r="I74" s="6"/>
      <c r="N74" s="108">
        <v>45992</v>
      </c>
      <c r="O74" t="s">
        <v>1084</v>
      </c>
      <c r="P74" s="6" t="s">
        <v>1061</v>
      </c>
      <c r="Q74" s="108">
        <v>45627</v>
      </c>
      <c r="R74" s="6" t="s">
        <v>143</v>
      </c>
      <c r="S74" s="6" t="s">
        <v>1060</v>
      </c>
      <c r="U74" s="108">
        <v>45383</v>
      </c>
      <c r="V74" t="s">
        <v>1101</v>
      </c>
      <c r="W74" s="6" t="s">
        <v>1169</v>
      </c>
      <c r="X74" s="6"/>
    </row>
    <row r="75" spans="5:24" x14ac:dyDescent="0.2">
      <c r="E75" s="6" t="s">
        <v>1060</v>
      </c>
      <c r="F75" s="108">
        <v>45931</v>
      </c>
      <c r="G75">
        <v>7.0000000000000001E-3</v>
      </c>
      <c r="I75" s="6"/>
      <c r="N75" s="108">
        <v>46023</v>
      </c>
      <c r="O75" t="s">
        <v>1064</v>
      </c>
      <c r="P75" s="6" t="s">
        <v>1060</v>
      </c>
      <c r="Q75" s="108">
        <v>45658</v>
      </c>
      <c r="R75" s="6" t="s">
        <v>1095</v>
      </c>
      <c r="S75" s="6" t="s">
        <v>1059</v>
      </c>
      <c r="U75" s="108">
        <v>45413</v>
      </c>
      <c r="V75" t="s">
        <v>1102</v>
      </c>
      <c r="W75" s="6" t="s">
        <v>1168</v>
      </c>
      <c r="X75" s="6"/>
    </row>
    <row r="76" spans="5:24" x14ac:dyDescent="0.2">
      <c r="E76" s="6" t="s">
        <v>1060</v>
      </c>
      <c r="F76" s="108">
        <v>45962</v>
      </c>
      <c r="G76">
        <v>7.0000000000000001E-3</v>
      </c>
      <c r="N76" s="108">
        <v>46023</v>
      </c>
      <c r="O76" t="s">
        <v>1065</v>
      </c>
      <c r="P76" s="6" t="s">
        <v>1061</v>
      </c>
      <c r="Q76" s="108">
        <v>45658</v>
      </c>
      <c r="R76" s="6" t="s">
        <v>14</v>
      </c>
      <c r="S76" s="6" t="s">
        <v>1060</v>
      </c>
      <c r="U76" s="108">
        <v>45413</v>
      </c>
      <c r="V76" t="s">
        <v>1101</v>
      </c>
      <c r="W76" s="6" t="s">
        <v>1169</v>
      </c>
      <c r="X76" s="6"/>
    </row>
    <row r="77" spans="5:24" x14ac:dyDescent="0.2">
      <c r="E77" s="6" t="s">
        <v>1060</v>
      </c>
      <c r="F77" s="127">
        <v>45992</v>
      </c>
      <c r="G77">
        <v>7.0000000000000001E-3</v>
      </c>
      <c r="N77" s="108">
        <v>46054</v>
      </c>
      <c r="O77" t="s">
        <v>1066</v>
      </c>
      <c r="P77" s="6" t="s">
        <v>1060</v>
      </c>
      <c r="Q77" s="108">
        <v>45689</v>
      </c>
      <c r="R77" s="6" t="s">
        <v>1096</v>
      </c>
      <c r="S77" s="6" t="s">
        <v>1059</v>
      </c>
      <c r="U77" s="108">
        <v>45413</v>
      </c>
      <c r="V77" t="s">
        <v>1145</v>
      </c>
      <c r="W77" s="6" t="s">
        <v>1170</v>
      </c>
      <c r="X77" s="6"/>
    </row>
    <row r="78" spans="5:24" x14ac:dyDescent="0.2">
      <c r="E78" s="6" t="s">
        <v>1060</v>
      </c>
      <c r="F78" s="108">
        <v>46023</v>
      </c>
      <c r="G78">
        <v>7.0000000000000001E-3</v>
      </c>
      <c r="N78" s="108">
        <v>46054</v>
      </c>
      <c r="O78" t="s">
        <v>1067</v>
      </c>
      <c r="P78" s="6" t="s">
        <v>1061</v>
      </c>
      <c r="Q78" s="108">
        <v>45689</v>
      </c>
      <c r="R78" s="6" t="s">
        <v>1097</v>
      </c>
      <c r="S78" s="6" t="s">
        <v>1060</v>
      </c>
      <c r="U78" s="108">
        <v>45444</v>
      </c>
      <c r="V78" t="s">
        <v>1104</v>
      </c>
      <c r="W78" s="6" t="s">
        <v>1168</v>
      </c>
      <c r="X78" s="6"/>
    </row>
    <row r="79" spans="5:24" x14ac:dyDescent="0.2">
      <c r="E79" s="6" t="s">
        <v>1060</v>
      </c>
      <c r="F79" s="108">
        <v>46054</v>
      </c>
      <c r="G79">
        <v>7.0000000000000001E-3</v>
      </c>
      <c r="N79" s="108">
        <v>46082</v>
      </c>
      <c r="O79" t="s">
        <v>1068</v>
      </c>
      <c r="P79" s="6" t="s">
        <v>1060</v>
      </c>
      <c r="Q79" s="108">
        <v>45717</v>
      </c>
      <c r="R79" s="6" t="s">
        <v>1098</v>
      </c>
      <c r="S79" s="6" t="s">
        <v>1059</v>
      </c>
      <c r="U79" s="108">
        <v>45444</v>
      </c>
      <c r="V79" t="s">
        <v>1101</v>
      </c>
      <c r="W79" s="6" t="s">
        <v>1169</v>
      </c>
      <c r="X79" s="6"/>
    </row>
    <row r="80" spans="5:24" x14ac:dyDescent="0.2">
      <c r="E80" s="6" t="s">
        <v>1060</v>
      </c>
      <c r="F80" s="108">
        <v>46082</v>
      </c>
      <c r="G80">
        <v>7.0000000000000001E-3</v>
      </c>
      <c r="N80" s="108">
        <v>46082</v>
      </c>
      <c r="O80" t="s">
        <v>1069</v>
      </c>
      <c r="P80" s="6" t="s">
        <v>1061</v>
      </c>
      <c r="Q80" s="108">
        <v>45717</v>
      </c>
      <c r="R80" s="6" t="s">
        <v>1099</v>
      </c>
      <c r="S80" s="6" t="s">
        <v>1060</v>
      </c>
      <c r="U80" s="108">
        <v>45444</v>
      </c>
      <c r="V80" t="s">
        <v>149</v>
      </c>
      <c r="W80" s="6" t="s">
        <v>1170</v>
      </c>
      <c r="X80" s="6"/>
    </row>
    <row r="81" spans="5:24" x14ac:dyDescent="0.2">
      <c r="E81" s="6" t="s">
        <v>1060</v>
      </c>
      <c r="F81" s="108">
        <v>46113</v>
      </c>
      <c r="G81">
        <v>7.0000000000000001E-3</v>
      </c>
      <c r="N81" s="108">
        <v>46113</v>
      </c>
      <c r="O81" t="s">
        <v>1070</v>
      </c>
      <c r="P81" s="6" t="s">
        <v>1060</v>
      </c>
      <c r="Q81" s="108">
        <v>45748</v>
      </c>
      <c r="R81" s="6" t="s">
        <v>1100</v>
      </c>
      <c r="S81" s="6" t="s">
        <v>1059</v>
      </c>
      <c r="U81" s="108">
        <v>45474</v>
      </c>
      <c r="V81" t="s">
        <v>1080</v>
      </c>
      <c r="W81" s="6" t="s">
        <v>1168</v>
      </c>
      <c r="X81" s="6"/>
    </row>
    <row r="82" spans="5:24" x14ac:dyDescent="0.2">
      <c r="E82" s="6" t="s">
        <v>1060</v>
      </c>
      <c r="F82" s="108">
        <v>46143</v>
      </c>
      <c r="G82">
        <v>7.0000000000000001E-3</v>
      </c>
      <c r="N82" s="108">
        <v>46113</v>
      </c>
      <c r="O82" t="s">
        <v>1071</v>
      </c>
      <c r="P82" s="6" t="s">
        <v>1061</v>
      </c>
      <c r="Q82" s="108">
        <v>45748</v>
      </c>
      <c r="R82" s="6" t="s">
        <v>1101</v>
      </c>
      <c r="S82" s="6" t="s">
        <v>1060</v>
      </c>
      <c r="U82" s="108">
        <v>45474</v>
      </c>
      <c r="V82" t="s">
        <v>1101</v>
      </c>
      <c r="W82" s="6" t="s">
        <v>1169</v>
      </c>
      <c r="X82" s="6"/>
    </row>
    <row r="83" spans="5:24" x14ac:dyDescent="0.2">
      <c r="E83" s="6" t="s">
        <v>1060</v>
      </c>
      <c r="F83" s="108">
        <v>46174</v>
      </c>
      <c r="G83">
        <v>7.0000000000000001E-3</v>
      </c>
      <c r="N83" s="108">
        <v>46143</v>
      </c>
      <c r="O83" t="s">
        <v>1072</v>
      </c>
      <c r="P83" s="6" t="s">
        <v>1060</v>
      </c>
      <c r="Q83" s="108">
        <v>45778</v>
      </c>
      <c r="R83" s="6" t="s">
        <v>1102</v>
      </c>
      <c r="S83" s="6" t="s">
        <v>1059</v>
      </c>
      <c r="U83" s="108">
        <v>45474</v>
      </c>
      <c r="V83" t="s">
        <v>1070</v>
      </c>
      <c r="W83" s="6" t="s">
        <v>1170</v>
      </c>
      <c r="X83" s="6"/>
    </row>
    <row r="84" spans="5:24" x14ac:dyDescent="0.2">
      <c r="E84" s="6" t="s">
        <v>1061</v>
      </c>
      <c r="F84" s="108">
        <v>46204</v>
      </c>
      <c r="G84">
        <v>7.1999999999999998E-3</v>
      </c>
      <c r="N84" s="108">
        <v>46143</v>
      </c>
      <c r="O84" t="s">
        <v>1073</v>
      </c>
      <c r="P84" s="6" t="s">
        <v>1061</v>
      </c>
      <c r="Q84" s="108">
        <v>45778</v>
      </c>
      <c r="R84" s="6" t="s">
        <v>1103</v>
      </c>
      <c r="S84" s="6" t="s">
        <v>1060</v>
      </c>
      <c r="U84" s="108">
        <v>45505</v>
      </c>
      <c r="V84" t="s">
        <v>1106</v>
      </c>
      <c r="W84" s="6" t="s">
        <v>1168</v>
      </c>
      <c r="X84" s="6"/>
    </row>
    <row r="85" spans="5:24" x14ac:dyDescent="0.2">
      <c r="E85" s="6" t="s">
        <v>1061</v>
      </c>
      <c r="F85" s="108">
        <v>46235</v>
      </c>
      <c r="G85">
        <v>7.1999999999999998E-3</v>
      </c>
      <c r="N85" s="108">
        <v>46174</v>
      </c>
      <c r="O85" t="s">
        <v>204</v>
      </c>
      <c r="P85" s="6" t="s">
        <v>1060</v>
      </c>
      <c r="Q85" s="108">
        <v>45809</v>
      </c>
      <c r="R85" s="6" t="s">
        <v>1104</v>
      </c>
      <c r="S85" s="6" t="s">
        <v>1059</v>
      </c>
      <c r="U85" s="108">
        <v>45505</v>
      </c>
      <c r="V85" t="s">
        <v>1101</v>
      </c>
      <c r="W85" s="6" t="s">
        <v>1169</v>
      </c>
      <c r="X85" s="6"/>
    </row>
    <row r="86" spans="5:24" x14ac:dyDescent="0.2">
      <c r="E86" s="6" t="s">
        <v>1061</v>
      </c>
      <c r="F86" s="108">
        <v>46266</v>
      </c>
      <c r="G86">
        <v>7.1999999999999998E-3</v>
      </c>
      <c r="N86" s="108">
        <v>46174</v>
      </c>
      <c r="O86" s="6" t="s">
        <v>1074</v>
      </c>
      <c r="P86" s="6" t="s">
        <v>1061</v>
      </c>
      <c r="Q86" s="108">
        <v>45809</v>
      </c>
      <c r="R86" s="6" t="s">
        <v>1105</v>
      </c>
      <c r="S86" s="6" t="s">
        <v>1060</v>
      </c>
      <c r="U86" s="108">
        <v>45505</v>
      </c>
      <c r="V86" t="s">
        <v>1164</v>
      </c>
      <c r="W86" s="6" t="s">
        <v>1170</v>
      </c>
      <c r="X86" s="6"/>
    </row>
    <row r="87" spans="5:24" x14ac:dyDescent="0.2">
      <c r="E87" s="6" t="s">
        <v>1061</v>
      </c>
      <c r="F87" s="108">
        <v>46296</v>
      </c>
      <c r="G87">
        <v>7.1999999999999998E-3</v>
      </c>
      <c r="N87" s="108">
        <v>46204</v>
      </c>
      <c r="O87" t="s">
        <v>1075</v>
      </c>
      <c r="P87" s="6" t="s">
        <v>1061</v>
      </c>
      <c r="Q87" s="108">
        <v>45839</v>
      </c>
      <c r="R87" s="6" t="s">
        <v>1080</v>
      </c>
      <c r="S87" s="6" t="s">
        <v>1059</v>
      </c>
      <c r="U87" s="108">
        <v>45536</v>
      </c>
      <c r="V87" t="s">
        <v>12</v>
      </c>
      <c r="W87" s="6" t="s">
        <v>1168</v>
      </c>
      <c r="X87" s="6"/>
    </row>
    <row r="88" spans="5:24" x14ac:dyDescent="0.2">
      <c r="E88" s="6" t="s">
        <v>1061</v>
      </c>
      <c r="F88" s="108">
        <v>46327</v>
      </c>
      <c r="G88">
        <v>7.1999999999999998E-3</v>
      </c>
      <c r="N88" s="108">
        <v>46204</v>
      </c>
      <c r="O88" s="6" t="s">
        <v>132</v>
      </c>
      <c r="P88" s="6" t="s">
        <v>1061</v>
      </c>
      <c r="Q88" s="108">
        <v>45839</v>
      </c>
      <c r="R88" s="6" t="s">
        <v>1079</v>
      </c>
      <c r="S88" s="6" t="s">
        <v>1060</v>
      </c>
      <c r="U88" s="108">
        <v>45536</v>
      </c>
      <c r="V88" t="s">
        <v>1101</v>
      </c>
      <c r="W88" s="6" t="s">
        <v>1169</v>
      </c>
      <c r="X88" s="6"/>
    </row>
    <row r="89" spans="5:24" x14ac:dyDescent="0.2">
      <c r="E89" s="6" t="s">
        <v>1061</v>
      </c>
      <c r="F89" s="108">
        <v>46357</v>
      </c>
      <c r="G89">
        <v>7.1999999999999998E-3</v>
      </c>
      <c r="N89" s="108">
        <v>46235</v>
      </c>
      <c r="O89" s="6" t="s">
        <v>1076</v>
      </c>
      <c r="P89" s="6" t="s">
        <v>1061</v>
      </c>
      <c r="Q89" s="108">
        <v>45870</v>
      </c>
      <c r="R89" s="6" t="s">
        <v>1106</v>
      </c>
      <c r="S89" s="6" t="s">
        <v>1059</v>
      </c>
      <c r="U89" s="108">
        <v>45536</v>
      </c>
      <c r="V89" t="s">
        <v>1165</v>
      </c>
      <c r="W89" s="6" t="s">
        <v>1170</v>
      </c>
      <c r="X89" s="6"/>
    </row>
    <row r="90" spans="5:24" x14ac:dyDescent="0.2">
      <c r="E90" s="6" t="s">
        <v>1061</v>
      </c>
      <c r="F90" s="108">
        <v>46388</v>
      </c>
      <c r="G90">
        <v>7.1999999999999998E-3</v>
      </c>
      <c r="N90" s="108">
        <v>46235</v>
      </c>
      <c r="O90" s="6" t="s">
        <v>1077</v>
      </c>
      <c r="P90" s="6" t="s">
        <v>1062</v>
      </c>
      <c r="Q90" s="108">
        <v>45870</v>
      </c>
      <c r="R90" s="6" t="s">
        <v>1107</v>
      </c>
      <c r="S90" s="6" t="s">
        <v>1060</v>
      </c>
      <c r="U90" s="108">
        <v>45566</v>
      </c>
      <c r="V90" t="s">
        <v>1101</v>
      </c>
      <c r="W90" s="6" t="s">
        <v>1169</v>
      </c>
      <c r="X90" s="6"/>
    </row>
    <row r="91" spans="5:24" x14ac:dyDescent="0.2">
      <c r="E91" s="6" t="s">
        <v>1061</v>
      </c>
      <c r="F91" s="108">
        <v>46419</v>
      </c>
      <c r="G91">
        <v>7.1999999999999998E-3</v>
      </c>
      <c r="N91" s="108">
        <v>46266</v>
      </c>
      <c r="O91" s="6" t="s">
        <v>1078</v>
      </c>
      <c r="P91" s="6" t="s">
        <v>1061</v>
      </c>
      <c r="Q91" s="108">
        <v>45901</v>
      </c>
      <c r="R91" s="6" t="s">
        <v>12</v>
      </c>
      <c r="S91" s="6" t="s">
        <v>1059</v>
      </c>
      <c r="U91" s="108">
        <v>45566</v>
      </c>
      <c r="V91" t="s">
        <v>1100</v>
      </c>
      <c r="W91" s="6" t="s">
        <v>1170</v>
      </c>
      <c r="X91" s="6"/>
    </row>
    <row r="92" spans="5:24" x14ac:dyDescent="0.2">
      <c r="E92" s="6" t="s">
        <v>1061</v>
      </c>
      <c r="F92" s="108">
        <v>46447</v>
      </c>
      <c r="G92">
        <v>7.1999999999999998E-3</v>
      </c>
      <c r="N92" s="108">
        <v>46266</v>
      </c>
      <c r="O92" t="s">
        <v>138</v>
      </c>
      <c r="P92" s="6" t="s">
        <v>1062</v>
      </c>
      <c r="Q92" s="108">
        <v>45901</v>
      </c>
      <c r="R92" s="6" t="s">
        <v>1109</v>
      </c>
      <c r="S92" s="6" t="s">
        <v>1060</v>
      </c>
      <c r="U92" s="108">
        <v>45566</v>
      </c>
      <c r="V92" t="s">
        <v>132</v>
      </c>
      <c r="W92" s="6" t="s">
        <v>1170</v>
      </c>
      <c r="X92" s="6"/>
    </row>
    <row r="93" spans="5:24" x14ac:dyDescent="0.2">
      <c r="E93" s="6" t="s">
        <v>1061</v>
      </c>
      <c r="F93" s="108">
        <v>46478</v>
      </c>
      <c r="G93">
        <v>7.1999999999999998E-3</v>
      </c>
      <c r="N93" s="108">
        <v>46296</v>
      </c>
      <c r="O93" t="s">
        <v>1079</v>
      </c>
      <c r="P93" s="6" t="s">
        <v>1061</v>
      </c>
      <c r="Q93" s="108">
        <v>45931</v>
      </c>
      <c r="R93" s="6" t="s">
        <v>1108</v>
      </c>
      <c r="S93" s="6" t="s">
        <v>1060</v>
      </c>
      <c r="U93" s="108">
        <v>45597</v>
      </c>
      <c r="V93" t="s">
        <v>1162</v>
      </c>
      <c r="W93" s="6" t="s">
        <v>1169</v>
      </c>
      <c r="X93" s="6"/>
    </row>
    <row r="94" spans="5:24" x14ac:dyDescent="0.2">
      <c r="E94" s="6" t="s">
        <v>1061</v>
      </c>
      <c r="F94" s="108">
        <v>46508</v>
      </c>
      <c r="G94">
        <v>7.1999999999999998E-3</v>
      </c>
      <c r="N94" s="108">
        <v>46296</v>
      </c>
      <c r="O94" t="s">
        <v>1080</v>
      </c>
      <c r="P94" s="6" t="s">
        <v>1062</v>
      </c>
      <c r="Q94" s="108">
        <v>45931</v>
      </c>
      <c r="R94" s="6" t="s">
        <v>132</v>
      </c>
      <c r="S94" s="6" t="s">
        <v>1060</v>
      </c>
      <c r="U94" s="108">
        <v>45597</v>
      </c>
      <c r="V94" t="s">
        <v>1100</v>
      </c>
      <c r="W94" s="6" t="s">
        <v>1170</v>
      </c>
      <c r="X94" s="6"/>
    </row>
    <row r="95" spans="5:24" x14ac:dyDescent="0.2">
      <c r="E95" s="6" t="s">
        <v>1061</v>
      </c>
      <c r="F95" s="108">
        <v>46539</v>
      </c>
      <c r="G95">
        <v>7.1999999999999998E-3</v>
      </c>
      <c r="N95" s="108">
        <v>46327</v>
      </c>
      <c r="O95" t="s">
        <v>1081</v>
      </c>
      <c r="P95" s="6" t="s">
        <v>1061</v>
      </c>
      <c r="Q95" s="108">
        <v>45962</v>
      </c>
      <c r="R95" s="6" t="s">
        <v>1117</v>
      </c>
      <c r="S95" s="6" t="s">
        <v>1060</v>
      </c>
      <c r="U95" s="108">
        <v>45597</v>
      </c>
      <c r="V95" t="s">
        <v>142</v>
      </c>
      <c r="W95" s="6" t="s">
        <v>1171</v>
      </c>
      <c r="X95" s="6"/>
    </row>
    <row r="96" spans="5:24" x14ac:dyDescent="0.2">
      <c r="E96" s="6" t="s">
        <v>1062</v>
      </c>
      <c r="F96" s="108">
        <v>46569</v>
      </c>
      <c r="G96">
        <v>7.4999999999999997E-3</v>
      </c>
      <c r="N96" s="108">
        <v>46327</v>
      </c>
      <c r="O96" t="s">
        <v>1082</v>
      </c>
      <c r="P96" s="6" t="s">
        <v>1062</v>
      </c>
      <c r="Q96" s="108">
        <v>45962</v>
      </c>
      <c r="R96" s="6" t="s">
        <v>142</v>
      </c>
      <c r="S96" s="6" t="s">
        <v>1061</v>
      </c>
      <c r="U96" s="108">
        <v>45627</v>
      </c>
      <c r="V96" t="s">
        <v>1163</v>
      </c>
      <c r="W96" s="6" t="s">
        <v>1169</v>
      </c>
      <c r="X96" s="6"/>
    </row>
    <row r="97" spans="5:24" x14ac:dyDescent="0.2">
      <c r="E97" s="6" t="s">
        <v>1062</v>
      </c>
      <c r="F97" s="108">
        <v>46600</v>
      </c>
      <c r="G97">
        <v>7.4999999999999997E-3</v>
      </c>
      <c r="N97" s="108">
        <v>46357</v>
      </c>
      <c r="O97" t="s">
        <v>1083</v>
      </c>
      <c r="P97" s="6" t="s">
        <v>1061</v>
      </c>
      <c r="Q97" s="108">
        <v>45992</v>
      </c>
      <c r="R97" s="6" t="s">
        <v>1118</v>
      </c>
      <c r="S97" s="6" t="s">
        <v>1060</v>
      </c>
      <c r="U97" s="108">
        <v>45627</v>
      </c>
      <c r="V97" t="s">
        <v>1100</v>
      </c>
      <c r="W97" s="6" t="s">
        <v>1170</v>
      </c>
      <c r="X97" s="6"/>
    </row>
    <row r="98" spans="5:24" x14ac:dyDescent="0.2">
      <c r="E98" s="6" t="s">
        <v>1062</v>
      </c>
      <c r="F98" s="108">
        <v>46631</v>
      </c>
      <c r="G98">
        <v>7.4999999999999997E-3</v>
      </c>
      <c r="N98" s="108">
        <v>46357</v>
      </c>
      <c r="O98" t="s">
        <v>1084</v>
      </c>
      <c r="P98" s="6" t="s">
        <v>1062</v>
      </c>
      <c r="Q98" s="108">
        <v>45992</v>
      </c>
      <c r="R98" s="6" t="s">
        <v>143</v>
      </c>
      <c r="S98" s="6" t="s">
        <v>1061</v>
      </c>
      <c r="U98" s="108">
        <v>45627</v>
      </c>
      <c r="V98" t="s">
        <v>143</v>
      </c>
      <c r="W98" s="6" t="s">
        <v>1171</v>
      </c>
      <c r="X98" s="6"/>
    </row>
    <row r="99" spans="5:24" x14ac:dyDescent="0.2">
      <c r="E99" s="6" t="s">
        <v>1062</v>
      </c>
      <c r="F99" s="108">
        <v>46661</v>
      </c>
      <c r="G99">
        <v>7.4999999999999997E-3</v>
      </c>
      <c r="N99" s="108">
        <v>46388</v>
      </c>
      <c r="O99" t="s">
        <v>1064</v>
      </c>
      <c r="P99" s="6" t="s">
        <v>1061</v>
      </c>
      <c r="Q99" s="108">
        <v>46023</v>
      </c>
      <c r="R99" s="6" t="s">
        <v>1095</v>
      </c>
      <c r="S99" s="6" t="s">
        <v>1060</v>
      </c>
      <c r="U99" s="108">
        <v>45658</v>
      </c>
      <c r="V99" t="s">
        <v>150</v>
      </c>
      <c r="W99" s="6" t="s">
        <v>1169</v>
      </c>
      <c r="X99" s="6"/>
    </row>
    <row r="100" spans="5:24" x14ac:dyDescent="0.2">
      <c r="E100" s="6" t="s">
        <v>1062</v>
      </c>
      <c r="F100" s="108">
        <v>46692</v>
      </c>
      <c r="G100">
        <v>7.4999999999999997E-3</v>
      </c>
      <c r="N100" s="108">
        <v>46388</v>
      </c>
      <c r="O100" t="s">
        <v>1065</v>
      </c>
      <c r="P100" s="6" t="s">
        <v>1062</v>
      </c>
      <c r="Q100" s="108">
        <v>46023</v>
      </c>
      <c r="R100" s="6" t="s">
        <v>14</v>
      </c>
      <c r="S100" s="6" t="s">
        <v>1061</v>
      </c>
      <c r="U100" s="108">
        <v>45658</v>
      </c>
      <c r="V100" t="s">
        <v>1100</v>
      </c>
      <c r="W100" s="6" t="s">
        <v>1170</v>
      </c>
      <c r="X100" s="6"/>
    </row>
    <row r="101" spans="5:24" x14ac:dyDescent="0.2">
      <c r="E101" s="6" t="s">
        <v>1062</v>
      </c>
      <c r="F101" s="108">
        <v>46722</v>
      </c>
      <c r="G101">
        <v>7.4999999999999997E-3</v>
      </c>
      <c r="N101" s="108">
        <v>46419</v>
      </c>
      <c r="O101" t="s">
        <v>1066</v>
      </c>
      <c r="P101" s="6" t="s">
        <v>1061</v>
      </c>
      <c r="Q101" s="108">
        <v>46054</v>
      </c>
      <c r="R101" s="6" t="s">
        <v>1096</v>
      </c>
      <c r="S101" s="6" t="s">
        <v>1060</v>
      </c>
      <c r="U101" s="108">
        <v>45658</v>
      </c>
      <c r="V101" t="s">
        <v>14</v>
      </c>
      <c r="W101" s="6" t="s">
        <v>1169</v>
      </c>
      <c r="X101" s="6"/>
    </row>
    <row r="102" spans="5:24" x14ac:dyDescent="0.2">
      <c r="E102" s="6" t="s">
        <v>1062</v>
      </c>
      <c r="F102" s="108">
        <v>46753</v>
      </c>
      <c r="G102">
        <v>7.4999999999999997E-3</v>
      </c>
      <c r="N102" s="108">
        <v>46419</v>
      </c>
      <c r="O102" t="s">
        <v>1067</v>
      </c>
      <c r="P102" s="6" t="s">
        <v>1062</v>
      </c>
      <c r="Q102" s="108">
        <v>46054</v>
      </c>
      <c r="R102" s="6" t="s">
        <v>1097</v>
      </c>
      <c r="S102" s="6" t="s">
        <v>1061</v>
      </c>
      <c r="U102" s="108">
        <v>45689</v>
      </c>
      <c r="V102" t="s">
        <v>1161</v>
      </c>
      <c r="W102" s="6" t="s">
        <v>1169</v>
      </c>
      <c r="X102" s="6"/>
    </row>
    <row r="103" spans="5:24" x14ac:dyDescent="0.2">
      <c r="E103" s="6" t="s">
        <v>1062</v>
      </c>
      <c r="F103" s="108">
        <v>46784</v>
      </c>
      <c r="G103">
        <v>7.4999999999999997E-3</v>
      </c>
      <c r="N103" s="108">
        <v>46447</v>
      </c>
      <c r="O103" t="s">
        <v>1068</v>
      </c>
      <c r="P103" s="6" t="s">
        <v>1061</v>
      </c>
      <c r="Q103" s="108">
        <v>46082</v>
      </c>
      <c r="R103" s="6" t="s">
        <v>1098</v>
      </c>
      <c r="S103" s="6" t="s">
        <v>1060</v>
      </c>
      <c r="U103" s="108">
        <v>45689</v>
      </c>
      <c r="V103" t="s">
        <v>1100</v>
      </c>
      <c r="W103" s="6" t="s">
        <v>1170</v>
      </c>
      <c r="X103" s="6"/>
    </row>
    <row r="104" spans="5:24" x14ac:dyDescent="0.2">
      <c r="E104" s="6" t="s">
        <v>1062</v>
      </c>
      <c r="F104" s="108">
        <v>46813</v>
      </c>
      <c r="G104">
        <v>7.4999999999999997E-3</v>
      </c>
      <c r="N104" s="108">
        <v>46447</v>
      </c>
      <c r="O104" t="s">
        <v>1069</v>
      </c>
      <c r="P104" s="6" t="s">
        <v>1062</v>
      </c>
      <c r="Q104" s="108">
        <v>46082</v>
      </c>
      <c r="R104" s="6" t="s">
        <v>1099</v>
      </c>
      <c r="S104" s="6" t="s">
        <v>1061</v>
      </c>
      <c r="U104" s="108">
        <v>45689</v>
      </c>
      <c r="V104" t="s">
        <v>1097</v>
      </c>
      <c r="W104" s="6" t="s">
        <v>1171</v>
      </c>
      <c r="X104" s="6"/>
    </row>
    <row r="105" spans="5:24" x14ac:dyDescent="0.2">
      <c r="E105" s="6" t="s">
        <v>1062</v>
      </c>
      <c r="F105" s="108">
        <v>46844</v>
      </c>
      <c r="G105">
        <v>7.4999999999999997E-3</v>
      </c>
      <c r="N105" s="108">
        <v>46478</v>
      </c>
      <c r="O105" t="s">
        <v>1070</v>
      </c>
      <c r="P105" s="6" t="s">
        <v>1061</v>
      </c>
      <c r="Q105" s="108">
        <v>46113</v>
      </c>
      <c r="R105" s="6" t="s">
        <v>1100</v>
      </c>
      <c r="S105" s="6" t="s">
        <v>1060</v>
      </c>
      <c r="U105" s="108">
        <v>45717</v>
      </c>
      <c r="V105" t="s">
        <v>1148</v>
      </c>
      <c r="W105" s="6" t="s">
        <v>1169</v>
      </c>
      <c r="X105" s="6"/>
    </row>
    <row r="106" spans="5:24" x14ac:dyDescent="0.2">
      <c r="E106" s="6" t="s">
        <v>1062</v>
      </c>
      <c r="F106" s="108">
        <v>46874</v>
      </c>
      <c r="G106">
        <v>7.4999999999999997E-3</v>
      </c>
      <c r="N106" s="108">
        <v>46478</v>
      </c>
      <c r="O106" t="s">
        <v>1071</v>
      </c>
      <c r="P106" s="6" t="s">
        <v>1062</v>
      </c>
      <c r="Q106" s="108">
        <v>46113</v>
      </c>
      <c r="R106" s="6" t="s">
        <v>1101</v>
      </c>
      <c r="S106" s="6" t="s">
        <v>1061</v>
      </c>
      <c r="U106" s="108">
        <v>45717</v>
      </c>
      <c r="V106" t="s">
        <v>1100</v>
      </c>
      <c r="W106" s="6" t="s">
        <v>1170</v>
      </c>
      <c r="X106" s="6"/>
    </row>
    <row r="107" spans="5:24" x14ac:dyDescent="0.2">
      <c r="E107" s="6" t="s">
        <v>1062</v>
      </c>
      <c r="F107" s="108">
        <v>46905</v>
      </c>
      <c r="G107">
        <v>7.4999999999999997E-3</v>
      </c>
      <c r="N107" s="108">
        <v>46508</v>
      </c>
      <c r="O107" t="s">
        <v>1072</v>
      </c>
      <c r="P107" s="6" t="s">
        <v>1061</v>
      </c>
      <c r="Q107" s="108">
        <v>46143</v>
      </c>
      <c r="R107" s="6" t="s">
        <v>1102</v>
      </c>
      <c r="S107" s="6" t="s">
        <v>1114</v>
      </c>
      <c r="U107" s="108">
        <v>45717</v>
      </c>
      <c r="V107" t="s">
        <v>1099</v>
      </c>
      <c r="W107" s="6" t="s">
        <v>1171</v>
      </c>
      <c r="X107" s="6"/>
    </row>
    <row r="108" spans="5:24" x14ac:dyDescent="0.2">
      <c r="E108" s="6" t="s">
        <v>1115</v>
      </c>
      <c r="F108" s="108">
        <v>46935</v>
      </c>
      <c r="G108">
        <v>7.7000000000000002E-3</v>
      </c>
      <c r="N108" s="108">
        <v>46508</v>
      </c>
      <c r="O108" t="s">
        <v>1073</v>
      </c>
      <c r="P108" s="6" t="s">
        <v>1062</v>
      </c>
      <c r="Q108" s="108">
        <v>46143</v>
      </c>
      <c r="R108" s="6" t="s">
        <v>1103</v>
      </c>
      <c r="S108" s="6" t="s">
        <v>1061</v>
      </c>
      <c r="U108" s="108">
        <v>45748</v>
      </c>
      <c r="V108" t="s">
        <v>1100</v>
      </c>
      <c r="W108" s="6" t="s">
        <v>1170</v>
      </c>
      <c r="X108" s="6"/>
    </row>
    <row r="109" spans="5:24" x14ac:dyDescent="0.2">
      <c r="E109" s="6" t="s">
        <v>1115</v>
      </c>
      <c r="F109" s="108">
        <v>46966</v>
      </c>
      <c r="G109">
        <v>7.7000000000000002E-3</v>
      </c>
      <c r="N109" s="108">
        <v>46539</v>
      </c>
      <c r="O109" t="s">
        <v>204</v>
      </c>
      <c r="P109" s="6" t="s">
        <v>1061</v>
      </c>
      <c r="Q109" s="108">
        <v>46174</v>
      </c>
      <c r="R109" s="6" t="s">
        <v>1104</v>
      </c>
      <c r="S109" s="6" t="s">
        <v>1060</v>
      </c>
      <c r="U109" s="108">
        <v>45748</v>
      </c>
      <c r="V109" t="s">
        <v>132</v>
      </c>
      <c r="W109" s="6" t="s">
        <v>1170</v>
      </c>
      <c r="X109" s="6"/>
    </row>
    <row r="110" spans="5:24" x14ac:dyDescent="0.2">
      <c r="E110" s="6" t="s">
        <v>1115</v>
      </c>
      <c r="F110" s="108">
        <v>46997</v>
      </c>
      <c r="G110">
        <v>7.7000000000000002E-3</v>
      </c>
      <c r="N110" s="108">
        <v>46539</v>
      </c>
      <c r="O110" s="6" t="s">
        <v>1074</v>
      </c>
      <c r="P110" s="6" t="s">
        <v>1062</v>
      </c>
      <c r="Q110" s="108">
        <v>46174</v>
      </c>
      <c r="R110" s="6" t="s">
        <v>1105</v>
      </c>
      <c r="S110" s="6" t="s">
        <v>1061</v>
      </c>
      <c r="U110" s="108">
        <v>45748</v>
      </c>
      <c r="V110" t="s">
        <v>1101</v>
      </c>
      <c r="W110" s="6" t="s">
        <v>1171</v>
      </c>
      <c r="X110" s="6"/>
    </row>
    <row r="111" spans="5:24" x14ac:dyDescent="0.2">
      <c r="E111" s="6" t="s">
        <v>1115</v>
      </c>
      <c r="F111" s="108">
        <v>47027</v>
      </c>
      <c r="G111">
        <v>7.7000000000000002E-3</v>
      </c>
      <c r="N111" s="108">
        <v>46569</v>
      </c>
      <c r="O111" t="s">
        <v>1075</v>
      </c>
      <c r="P111" s="6" t="s">
        <v>1062</v>
      </c>
      <c r="Q111" s="108">
        <v>46204</v>
      </c>
      <c r="R111" s="6" t="s">
        <v>1080</v>
      </c>
      <c r="S111" s="6" t="s">
        <v>1060</v>
      </c>
      <c r="U111" s="108">
        <v>45778</v>
      </c>
      <c r="V111" t="s">
        <v>1102</v>
      </c>
      <c r="W111" s="6" t="s">
        <v>1170</v>
      </c>
      <c r="X111" s="6"/>
    </row>
    <row r="112" spans="5:24" x14ac:dyDescent="0.2">
      <c r="E112" s="6" t="s">
        <v>1115</v>
      </c>
      <c r="F112" s="108">
        <v>47058</v>
      </c>
      <c r="G112">
        <v>7.7000000000000002E-3</v>
      </c>
      <c r="N112" s="108">
        <v>46569</v>
      </c>
      <c r="O112" s="6" t="s">
        <v>132</v>
      </c>
      <c r="P112" s="6" t="s">
        <v>1062</v>
      </c>
      <c r="Q112" s="108">
        <v>46204</v>
      </c>
      <c r="R112" s="6" t="s">
        <v>1079</v>
      </c>
      <c r="S112" s="6" t="s">
        <v>1061</v>
      </c>
      <c r="U112" s="108">
        <v>45778</v>
      </c>
      <c r="V112" t="s">
        <v>1101</v>
      </c>
      <c r="W112" s="6" t="s">
        <v>1171</v>
      </c>
      <c r="X112" s="6"/>
    </row>
    <row r="113" spans="5:24" x14ac:dyDescent="0.2">
      <c r="E113" s="6" t="s">
        <v>1115</v>
      </c>
      <c r="F113" s="108">
        <v>47088</v>
      </c>
      <c r="G113">
        <v>7.7000000000000002E-3</v>
      </c>
      <c r="N113" s="108">
        <v>46600</v>
      </c>
      <c r="O113" s="6" t="s">
        <v>1076</v>
      </c>
      <c r="P113" s="6" t="s">
        <v>1062</v>
      </c>
      <c r="Q113" s="108">
        <v>46235</v>
      </c>
      <c r="R113" s="6" t="s">
        <v>1106</v>
      </c>
      <c r="S113" s="6" t="s">
        <v>1060</v>
      </c>
      <c r="U113" s="108">
        <v>45778</v>
      </c>
      <c r="V113" t="s">
        <v>1145</v>
      </c>
      <c r="W113" s="6" t="s">
        <v>1172</v>
      </c>
      <c r="X113" s="6"/>
    </row>
    <row r="114" spans="5:24" x14ac:dyDescent="0.2">
      <c r="E114" s="6" t="s">
        <v>1115</v>
      </c>
      <c r="F114" s="108">
        <v>47119</v>
      </c>
      <c r="G114">
        <v>7.7000000000000002E-3</v>
      </c>
      <c r="N114" s="108">
        <v>46600</v>
      </c>
      <c r="O114" s="6" t="s">
        <v>1077</v>
      </c>
      <c r="P114" s="6" t="s">
        <v>1115</v>
      </c>
      <c r="Q114" s="108">
        <v>46235</v>
      </c>
      <c r="R114" s="6" t="s">
        <v>1107</v>
      </c>
      <c r="S114" s="6" t="s">
        <v>1061</v>
      </c>
      <c r="U114" s="108">
        <v>45809</v>
      </c>
      <c r="V114" t="s">
        <v>1104</v>
      </c>
      <c r="W114" s="6" t="s">
        <v>1170</v>
      </c>
      <c r="X114" s="6"/>
    </row>
    <row r="115" spans="5:24" x14ac:dyDescent="0.2">
      <c r="E115" s="6" t="s">
        <v>1115</v>
      </c>
      <c r="F115" s="108">
        <v>47150</v>
      </c>
      <c r="G115">
        <v>7.7000000000000002E-3</v>
      </c>
      <c r="N115" s="108">
        <v>46631</v>
      </c>
      <c r="O115" s="6" t="s">
        <v>1078</v>
      </c>
      <c r="P115" s="6" t="s">
        <v>1062</v>
      </c>
      <c r="Q115" s="108">
        <v>46266</v>
      </c>
      <c r="R115" s="6" t="s">
        <v>12</v>
      </c>
      <c r="S115" s="6" t="s">
        <v>1060</v>
      </c>
      <c r="U115" s="108">
        <v>45809</v>
      </c>
      <c r="V115" t="s">
        <v>1101</v>
      </c>
      <c r="W115" s="6" t="s">
        <v>1171</v>
      </c>
      <c r="X115" s="6"/>
    </row>
    <row r="116" spans="5:24" x14ac:dyDescent="0.2">
      <c r="E116" s="6" t="s">
        <v>1115</v>
      </c>
      <c r="F116" s="108">
        <v>47178</v>
      </c>
      <c r="G116">
        <v>7.7000000000000002E-3</v>
      </c>
      <c r="N116" s="108">
        <v>46631</v>
      </c>
      <c r="O116" t="s">
        <v>138</v>
      </c>
      <c r="P116" s="6" t="s">
        <v>1115</v>
      </c>
      <c r="Q116" s="108">
        <v>46266</v>
      </c>
      <c r="R116" s="6" t="s">
        <v>1109</v>
      </c>
      <c r="S116" s="6" t="s">
        <v>1061</v>
      </c>
      <c r="U116" s="108">
        <v>45809</v>
      </c>
      <c r="V116" t="s">
        <v>149</v>
      </c>
      <c r="W116" s="6" t="s">
        <v>1172</v>
      </c>
      <c r="X116" s="6"/>
    </row>
    <row r="117" spans="5:24" x14ac:dyDescent="0.2">
      <c r="E117" s="6" t="s">
        <v>1115</v>
      </c>
      <c r="F117" s="108">
        <v>47209</v>
      </c>
      <c r="G117">
        <v>7.7000000000000002E-3</v>
      </c>
      <c r="N117" s="108">
        <v>46661</v>
      </c>
      <c r="O117" t="s">
        <v>1079</v>
      </c>
      <c r="P117" s="6" t="s">
        <v>1062</v>
      </c>
      <c r="Q117" s="108">
        <v>46296</v>
      </c>
      <c r="R117" s="6" t="s">
        <v>1108</v>
      </c>
      <c r="S117" s="6" t="s">
        <v>1061</v>
      </c>
      <c r="U117" s="108">
        <v>45839</v>
      </c>
      <c r="V117" t="s">
        <v>1080</v>
      </c>
      <c r="W117" s="6" t="s">
        <v>1170</v>
      </c>
      <c r="X117" s="6"/>
    </row>
    <row r="118" spans="5:24" x14ac:dyDescent="0.2">
      <c r="E118" s="6" t="s">
        <v>1115</v>
      </c>
      <c r="F118" s="108">
        <v>47239</v>
      </c>
      <c r="G118">
        <v>7.7000000000000002E-3</v>
      </c>
      <c r="N118" s="108">
        <v>46661</v>
      </c>
      <c r="O118" t="s">
        <v>1080</v>
      </c>
      <c r="P118" s="6" t="s">
        <v>1115</v>
      </c>
      <c r="Q118" s="108">
        <v>46296</v>
      </c>
      <c r="R118" s="6" t="s">
        <v>132</v>
      </c>
      <c r="S118" s="6" t="s">
        <v>1061</v>
      </c>
      <c r="U118" s="108">
        <v>45839</v>
      </c>
      <c r="V118" t="s">
        <v>1101</v>
      </c>
      <c r="W118" s="6" t="s">
        <v>1171</v>
      </c>
      <c r="X118" s="6"/>
    </row>
    <row r="119" spans="5:24" x14ac:dyDescent="0.2">
      <c r="E119" s="6" t="s">
        <v>1115</v>
      </c>
      <c r="F119" s="108">
        <v>47270</v>
      </c>
      <c r="G119">
        <v>7.7000000000000002E-3</v>
      </c>
      <c r="N119" s="108">
        <v>46692</v>
      </c>
      <c r="O119" t="s">
        <v>1081</v>
      </c>
      <c r="P119" s="6" t="s">
        <v>1062</v>
      </c>
      <c r="Q119" s="108">
        <v>46327</v>
      </c>
      <c r="R119" s="6" t="s">
        <v>1117</v>
      </c>
      <c r="S119" s="6" t="s">
        <v>1061</v>
      </c>
      <c r="U119" s="108">
        <v>45839</v>
      </c>
      <c r="V119" t="s">
        <v>1070</v>
      </c>
      <c r="W119" s="6" t="s">
        <v>1172</v>
      </c>
      <c r="X119" s="6"/>
    </row>
    <row r="120" spans="5:24" x14ac:dyDescent="0.2">
      <c r="E120" s="6" t="s">
        <v>1132</v>
      </c>
      <c r="F120" s="108">
        <v>47300</v>
      </c>
      <c r="G120">
        <v>7.7000000000000002E-3</v>
      </c>
      <c r="N120" s="108">
        <v>46692</v>
      </c>
      <c r="O120" t="s">
        <v>1082</v>
      </c>
      <c r="P120" s="6" t="s">
        <v>1115</v>
      </c>
      <c r="Q120" s="108">
        <v>46327</v>
      </c>
      <c r="R120" s="6" t="s">
        <v>142</v>
      </c>
      <c r="S120" s="6" t="s">
        <v>1062</v>
      </c>
      <c r="U120" s="108">
        <v>45870</v>
      </c>
      <c r="V120" t="s">
        <v>1106</v>
      </c>
      <c r="W120" s="6" t="s">
        <v>1170</v>
      </c>
      <c r="X120" s="6"/>
    </row>
    <row r="121" spans="5:24" x14ac:dyDescent="0.2">
      <c r="E121" s="6" t="s">
        <v>1132</v>
      </c>
      <c r="F121" s="108">
        <v>47331</v>
      </c>
      <c r="G121">
        <v>7.7000000000000002E-3</v>
      </c>
      <c r="N121" s="108">
        <v>46722</v>
      </c>
      <c r="O121" t="s">
        <v>1083</v>
      </c>
      <c r="P121" s="6" t="s">
        <v>1062</v>
      </c>
      <c r="Q121" s="108">
        <v>46357</v>
      </c>
      <c r="R121" s="6" t="s">
        <v>1118</v>
      </c>
      <c r="S121" s="6" t="s">
        <v>1061</v>
      </c>
      <c r="U121" s="108">
        <v>45870</v>
      </c>
      <c r="V121" t="s">
        <v>1101</v>
      </c>
      <c r="W121" s="6" t="s">
        <v>1171</v>
      </c>
      <c r="X121" s="6"/>
    </row>
    <row r="122" spans="5:24" x14ac:dyDescent="0.2">
      <c r="E122" s="6" t="s">
        <v>1132</v>
      </c>
      <c r="F122" s="108">
        <v>47362</v>
      </c>
      <c r="G122">
        <v>7.7000000000000002E-3</v>
      </c>
      <c r="N122" s="108">
        <v>46722</v>
      </c>
      <c r="O122" t="s">
        <v>1084</v>
      </c>
      <c r="P122" s="6" t="s">
        <v>1115</v>
      </c>
      <c r="Q122" s="108">
        <v>46357</v>
      </c>
      <c r="R122" s="6" t="s">
        <v>143</v>
      </c>
      <c r="S122" s="6" t="s">
        <v>1062</v>
      </c>
      <c r="U122" s="108">
        <v>45870</v>
      </c>
      <c r="V122" t="s">
        <v>1164</v>
      </c>
      <c r="W122" s="6" t="s">
        <v>1172</v>
      </c>
      <c r="X122" s="6"/>
    </row>
    <row r="123" spans="5:24" x14ac:dyDescent="0.2">
      <c r="E123" s="6" t="s">
        <v>1132</v>
      </c>
      <c r="F123" s="108">
        <v>47392</v>
      </c>
      <c r="G123">
        <v>7.7000000000000002E-3</v>
      </c>
      <c r="N123" s="108">
        <v>46753</v>
      </c>
      <c r="O123" t="s">
        <v>1064</v>
      </c>
      <c r="P123" s="6" t="s">
        <v>1062</v>
      </c>
      <c r="Q123" s="108">
        <v>46388</v>
      </c>
      <c r="R123" s="6" t="s">
        <v>1095</v>
      </c>
      <c r="S123" s="6" t="s">
        <v>1061</v>
      </c>
      <c r="U123" s="108">
        <v>45901</v>
      </c>
      <c r="V123" t="s">
        <v>12</v>
      </c>
      <c r="W123" s="6" t="s">
        <v>1170</v>
      </c>
      <c r="X123" s="6"/>
    </row>
    <row r="124" spans="5:24" x14ac:dyDescent="0.2">
      <c r="E124" s="6" t="s">
        <v>1132</v>
      </c>
      <c r="F124" s="108">
        <v>47423</v>
      </c>
      <c r="G124">
        <v>7.7000000000000002E-3</v>
      </c>
      <c r="N124" s="108">
        <v>46753</v>
      </c>
      <c r="O124" t="s">
        <v>1065</v>
      </c>
      <c r="P124" s="6" t="s">
        <v>1115</v>
      </c>
      <c r="Q124" s="108">
        <v>46388</v>
      </c>
      <c r="R124" s="6" t="s">
        <v>14</v>
      </c>
      <c r="S124" s="6" t="s">
        <v>1062</v>
      </c>
      <c r="U124" s="108">
        <v>45901</v>
      </c>
      <c r="V124" t="s">
        <v>1101</v>
      </c>
      <c r="W124" s="6" t="s">
        <v>1171</v>
      </c>
      <c r="X124" s="6"/>
    </row>
    <row r="125" spans="5:24" x14ac:dyDescent="0.2">
      <c r="E125" s="6" t="s">
        <v>1132</v>
      </c>
      <c r="F125" s="108">
        <v>47453</v>
      </c>
      <c r="G125">
        <v>7.7000000000000002E-3</v>
      </c>
      <c r="N125" s="108">
        <v>46784</v>
      </c>
      <c r="O125" t="s">
        <v>1066</v>
      </c>
      <c r="P125" s="6" t="s">
        <v>1062</v>
      </c>
      <c r="Q125" s="108">
        <v>46419</v>
      </c>
      <c r="R125" s="6" t="s">
        <v>1096</v>
      </c>
      <c r="S125" s="6" t="s">
        <v>1061</v>
      </c>
      <c r="U125" s="108">
        <v>45901</v>
      </c>
      <c r="V125" t="s">
        <v>1165</v>
      </c>
      <c r="W125" s="6" t="s">
        <v>1172</v>
      </c>
      <c r="X125" s="6"/>
    </row>
    <row r="126" spans="5:24" x14ac:dyDescent="0.2">
      <c r="E126" s="6" t="s">
        <v>1132</v>
      </c>
      <c r="F126" s="127">
        <v>47484</v>
      </c>
      <c r="G126">
        <v>7.7000000000000002E-3</v>
      </c>
      <c r="N126" s="108">
        <v>46784</v>
      </c>
      <c r="O126" t="s">
        <v>1067</v>
      </c>
      <c r="P126" s="6" t="s">
        <v>1115</v>
      </c>
      <c r="Q126" s="108">
        <v>46419</v>
      </c>
      <c r="R126" s="6" t="s">
        <v>1097</v>
      </c>
      <c r="S126" s="6" t="s">
        <v>1062</v>
      </c>
      <c r="U126" s="108">
        <v>45931</v>
      </c>
      <c r="V126" t="s">
        <v>1101</v>
      </c>
      <c r="W126" s="6" t="s">
        <v>1171</v>
      </c>
      <c r="X126" s="6"/>
    </row>
    <row r="127" spans="5:24" x14ac:dyDescent="0.2">
      <c r="E127" s="6" t="s">
        <v>1132</v>
      </c>
      <c r="F127" s="108">
        <v>47515</v>
      </c>
      <c r="G127">
        <v>7.7000000000000002E-3</v>
      </c>
      <c r="N127" s="108">
        <v>46813</v>
      </c>
      <c r="O127" t="s">
        <v>1068</v>
      </c>
      <c r="P127" s="6" t="s">
        <v>1062</v>
      </c>
      <c r="Q127" s="108">
        <v>46447</v>
      </c>
      <c r="R127" s="6" t="s">
        <v>1098</v>
      </c>
      <c r="S127" s="6" t="s">
        <v>1061</v>
      </c>
      <c r="U127" s="108">
        <v>45931</v>
      </c>
      <c r="V127" t="s">
        <v>1100</v>
      </c>
      <c r="W127" s="6" t="s">
        <v>1172</v>
      </c>
      <c r="X127" s="6"/>
    </row>
    <row r="128" spans="5:24" x14ac:dyDescent="0.2">
      <c r="E128" s="6" t="s">
        <v>1132</v>
      </c>
      <c r="F128" s="108">
        <v>47543</v>
      </c>
      <c r="G128">
        <v>7.7000000000000002E-3</v>
      </c>
      <c r="N128" s="108">
        <v>46813</v>
      </c>
      <c r="O128" t="s">
        <v>1069</v>
      </c>
      <c r="P128" s="6" t="s">
        <v>1115</v>
      </c>
      <c r="Q128" s="108">
        <v>46447</v>
      </c>
      <c r="R128" s="6" t="s">
        <v>1099</v>
      </c>
      <c r="S128" s="6" t="s">
        <v>1062</v>
      </c>
      <c r="U128" s="108">
        <v>45931</v>
      </c>
      <c r="V128" t="s">
        <v>132</v>
      </c>
      <c r="W128" s="6" t="s">
        <v>1172</v>
      </c>
      <c r="X128" s="6"/>
    </row>
    <row r="129" spans="5:24" x14ac:dyDescent="0.2">
      <c r="E129" s="6" t="s">
        <v>1132</v>
      </c>
      <c r="F129" s="127">
        <v>47574</v>
      </c>
      <c r="G129">
        <v>7.7000000000000002E-3</v>
      </c>
      <c r="N129" s="108">
        <v>46844</v>
      </c>
      <c r="O129" t="s">
        <v>1070</v>
      </c>
      <c r="P129" s="6" t="s">
        <v>1062</v>
      </c>
      <c r="Q129" s="108">
        <v>46478</v>
      </c>
      <c r="R129" s="6" t="s">
        <v>1100</v>
      </c>
      <c r="S129" s="6" t="s">
        <v>1061</v>
      </c>
      <c r="U129" s="108">
        <v>45962</v>
      </c>
      <c r="V129" t="s">
        <v>1162</v>
      </c>
      <c r="W129" s="6" t="s">
        <v>1171</v>
      </c>
      <c r="X129" s="6"/>
    </row>
    <row r="130" spans="5:24" x14ac:dyDescent="0.2">
      <c r="E130" s="6" t="s">
        <v>1132</v>
      </c>
      <c r="F130" s="108">
        <v>47604</v>
      </c>
      <c r="G130">
        <v>7.7000000000000002E-3</v>
      </c>
      <c r="N130" s="108">
        <v>46844</v>
      </c>
      <c r="O130" t="s">
        <v>1071</v>
      </c>
      <c r="P130" s="6" t="s">
        <v>1115</v>
      </c>
      <c r="Q130" s="108">
        <v>46478</v>
      </c>
      <c r="R130" s="6" t="s">
        <v>1101</v>
      </c>
      <c r="S130" s="6" t="s">
        <v>1062</v>
      </c>
      <c r="U130" s="108">
        <v>45962</v>
      </c>
      <c r="V130" t="s">
        <v>1100</v>
      </c>
      <c r="W130" s="6" t="s">
        <v>1172</v>
      </c>
      <c r="X130" s="6"/>
    </row>
    <row r="131" spans="5:24" x14ac:dyDescent="0.2">
      <c r="E131" s="6" t="s">
        <v>1132</v>
      </c>
      <c r="F131" s="108">
        <v>47635</v>
      </c>
      <c r="G131">
        <v>7.7000000000000002E-3</v>
      </c>
      <c r="N131" s="108">
        <v>46874</v>
      </c>
      <c r="O131" t="s">
        <v>1072</v>
      </c>
      <c r="P131" s="6" t="s">
        <v>1062</v>
      </c>
      <c r="Q131" s="108">
        <v>46508</v>
      </c>
      <c r="R131" s="6" t="s">
        <v>1102</v>
      </c>
      <c r="S131" s="6" t="s">
        <v>1061</v>
      </c>
      <c r="U131" s="108">
        <v>45962</v>
      </c>
      <c r="V131" t="s">
        <v>142</v>
      </c>
      <c r="W131" s="6" t="s">
        <v>1173</v>
      </c>
      <c r="X131" s="6"/>
    </row>
    <row r="132" spans="5:24" x14ac:dyDescent="0.2">
      <c r="E132" s="6" t="s">
        <v>1264</v>
      </c>
      <c r="F132" s="108">
        <v>47665</v>
      </c>
      <c r="G132">
        <v>7.7000000000000002E-3</v>
      </c>
      <c r="N132" s="108">
        <v>46874</v>
      </c>
      <c r="O132" t="s">
        <v>1073</v>
      </c>
      <c r="P132" s="6" t="s">
        <v>1115</v>
      </c>
      <c r="Q132" s="108">
        <v>46508</v>
      </c>
      <c r="R132" s="6" t="s">
        <v>1103</v>
      </c>
      <c r="S132" s="6" t="s">
        <v>1062</v>
      </c>
      <c r="U132" s="108">
        <v>45992</v>
      </c>
      <c r="V132" t="s">
        <v>1163</v>
      </c>
      <c r="W132" s="6" t="s">
        <v>1171</v>
      </c>
      <c r="X132" s="6"/>
    </row>
    <row r="133" spans="5:24" x14ac:dyDescent="0.2">
      <c r="E133" s="6" t="s">
        <v>1264</v>
      </c>
      <c r="F133" s="108">
        <v>47696</v>
      </c>
      <c r="G133">
        <v>7.7000000000000002E-3</v>
      </c>
      <c r="N133" s="108">
        <v>46905</v>
      </c>
      <c r="O133" t="s">
        <v>204</v>
      </c>
      <c r="P133" s="6" t="s">
        <v>1062</v>
      </c>
      <c r="Q133" s="108">
        <v>46539</v>
      </c>
      <c r="R133" s="6" t="s">
        <v>1104</v>
      </c>
      <c r="S133" s="6" t="s">
        <v>1061</v>
      </c>
      <c r="U133" s="108">
        <v>45992</v>
      </c>
      <c r="V133" t="s">
        <v>1100</v>
      </c>
      <c r="W133" s="6" t="s">
        <v>1172</v>
      </c>
      <c r="X133" s="6"/>
    </row>
    <row r="134" spans="5:24" x14ac:dyDescent="0.2">
      <c r="E134" s="6" t="s">
        <v>1264</v>
      </c>
      <c r="F134" s="108">
        <v>47727</v>
      </c>
      <c r="G134">
        <v>7.7000000000000002E-3</v>
      </c>
      <c r="N134" s="108">
        <v>46905</v>
      </c>
      <c r="O134" s="6" t="s">
        <v>1074</v>
      </c>
      <c r="P134" s="6" t="s">
        <v>1115</v>
      </c>
      <c r="Q134" s="108">
        <v>46539</v>
      </c>
      <c r="R134" s="6" t="s">
        <v>1105</v>
      </c>
      <c r="S134" s="6" t="s">
        <v>1062</v>
      </c>
      <c r="U134" s="108">
        <v>45992</v>
      </c>
      <c r="V134" t="s">
        <v>143</v>
      </c>
      <c r="W134" s="6" t="s">
        <v>1173</v>
      </c>
      <c r="X134" s="6"/>
    </row>
    <row r="135" spans="5:24" x14ac:dyDescent="0.2">
      <c r="E135" s="6" t="s">
        <v>1264</v>
      </c>
      <c r="F135" s="108">
        <v>47757</v>
      </c>
      <c r="G135">
        <v>7.7000000000000002E-3</v>
      </c>
      <c r="N135" s="108">
        <v>46935</v>
      </c>
      <c r="O135" t="s">
        <v>1075</v>
      </c>
      <c r="P135" s="6" t="s">
        <v>1115</v>
      </c>
      <c r="Q135" s="108">
        <v>46569</v>
      </c>
      <c r="R135" s="6" t="s">
        <v>1080</v>
      </c>
      <c r="S135" s="6" t="s">
        <v>1061</v>
      </c>
      <c r="U135" s="108">
        <v>46023</v>
      </c>
      <c r="V135" t="s">
        <v>150</v>
      </c>
      <c r="W135" s="6" t="s">
        <v>1171</v>
      </c>
      <c r="X135" s="6"/>
    </row>
    <row r="136" spans="5:24" x14ac:dyDescent="0.2">
      <c r="E136" s="6" t="s">
        <v>1264</v>
      </c>
      <c r="F136" s="108">
        <v>47788</v>
      </c>
      <c r="G136">
        <v>7.7000000000000002E-3</v>
      </c>
      <c r="N136" s="108">
        <v>46935</v>
      </c>
      <c r="O136" s="6" t="s">
        <v>132</v>
      </c>
      <c r="P136" s="6" t="s">
        <v>1115</v>
      </c>
      <c r="Q136" s="108">
        <v>46569</v>
      </c>
      <c r="R136" s="6" t="s">
        <v>1079</v>
      </c>
      <c r="S136" s="6" t="s">
        <v>1062</v>
      </c>
      <c r="U136" s="108">
        <v>46023</v>
      </c>
      <c r="V136" t="s">
        <v>1100</v>
      </c>
      <c r="W136" s="6" t="s">
        <v>1172</v>
      </c>
      <c r="X136" s="6"/>
    </row>
    <row r="137" spans="5:24" x14ac:dyDescent="0.2">
      <c r="E137" s="6" t="s">
        <v>1264</v>
      </c>
      <c r="F137" s="108">
        <v>47818</v>
      </c>
      <c r="G137">
        <v>7.7000000000000002E-3</v>
      </c>
      <c r="K137" s="19" t="s">
        <v>1093</v>
      </c>
      <c r="L137" s="19" t="s">
        <v>1092</v>
      </c>
      <c r="N137" s="108">
        <v>46966</v>
      </c>
      <c r="O137" s="6" t="s">
        <v>1076</v>
      </c>
      <c r="P137" s="6" t="s">
        <v>1115</v>
      </c>
      <c r="Q137" s="108">
        <v>46600</v>
      </c>
      <c r="R137" s="6" t="s">
        <v>1106</v>
      </c>
      <c r="S137" s="6" t="s">
        <v>1061</v>
      </c>
      <c r="U137" s="108">
        <v>46023</v>
      </c>
      <c r="V137" t="s">
        <v>14</v>
      </c>
      <c r="W137" s="6" t="s">
        <v>1171</v>
      </c>
      <c r="X137" s="6"/>
    </row>
    <row r="138" spans="5:24" x14ac:dyDescent="0.2">
      <c r="E138" s="6" t="s">
        <v>1264</v>
      </c>
      <c r="F138" s="108">
        <v>47849</v>
      </c>
      <c r="G138">
        <v>7.7000000000000002E-3</v>
      </c>
      <c r="K138" s="6" t="s">
        <v>1063</v>
      </c>
      <c r="L138" s="12">
        <f>Year1!G118</f>
        <v>6500</v>
      </c>
      <c r="N138" s="108">
        <v>46966</v>
      </c>
      <c r="O138" s="6" t="s">
        <v>1077</v>
      </c>
      <c r="P138" s="6" t="s">
        <v>1132</v>
      </c>
      <c r="Q138" s="108">
        <v>46600</v>
      </c>
      <c r="R138" s="6" t="s">
        <v>1107</v>
      </c>
      <c r="S138" s="6" t="s">
        <v>1062</v>
      </c>
      <c r="U138" s="108">
        <v>46054</v>
      </c>
      <c r="V138" t="s">
        <v>1161</v>
      </c>
      <c r="W138" s="6" t="s">
        <v>1171</v>
      </c>
      <c r="X138" s="6"/>
    </row>
    <row r="139" spans="5:24" x14ac:dyDescent="0.2">
      <c r="E139" s="6" t="s">
        <v>1264</v>
      </c>
      <c r="F139" s="108">
        <v>47880</v>
      </c>
      <c r="G139">
        <v>7.7000000000000002E-3</v>
      </c>
      <c r="K139" s="7" t="s">
        <v>1058</v>
      </c>
      <c r="L139" s="69">
        <f>L138*1.075</f>
        <v>6987.5</v>
      </c>
      <c r="N139" s="108">
        <v>46997</v>
      </c>
      <c r="O139" s="6" t="s">
        <v>1078</v>
      </c>
      <c r="P139" s="6" t="s">
        <v>1115</v>
      </c>
      <c r="Q139" s="108">
        <v>46631</v>
      </c>
      <c r="R139" s="6" t="s">
        <v>12</v>
      </c>
      <c r="S139" s="6" t="s">
        <v>1061</v>
      </c>
      <c r="U139" s="108">
        <v>46054</v>
      </c>
      <c r="V139" t="s">
        <v>1100</v>
      </c>
      <c r="W139" s="6" t="s">
        <v>1172</v>
      </c>
      <c r="X139" s="6"/>
    </row>
    <row r="140" spans="5:24" x14ac:dyDescent="0.2">
      <c r="E140" s="6" t="s">
        <v>1264</v>
      </c>
      <c r="F140" s="108">
        <v>47908</v>
      </c>
      <c r="G140">
        <v>7.7000000000000002E-3</v>
      </c>
      <c r="K140" s="7" t="s">
        <v>1059</v>
      </c>
      <c r="L140" s="69">
        <f>L139*1.035</f>
        <v>7232.0624999999991</v>
      </c>
      <c r="N140" s="108">
        <v>46997</v>
      </c>
      <c r="O140" t="s">
        <v>138</v>
      </c>
      <c r="P140" s="6" t="s">
        <v>1132</v>
      </c>
      <c r="Q140" s="108">
        <v>46631</v>
      </c>
      <c r="R140" s="6" t="s">
        <v>1109</v>
      </c>
      <c r="S140" s="6" t="s">
        <v>1062</v>
      </c>
      <c r="U140" s="108">
        <v>46054</v>
      </c>
      <c r="V140" t="s">
        <v>1097</v>
      </c>
      <c r="W140" s="6" t="s">
        <v>1173</v>
      </c>
      <c r="X140" s="6"/>
    </row>
    <row r="141" spans="5:24" x14ac:dyDescent="0.2">
      <c r="E141" s="6" t="s">
        <v>1264</v>
      </c>
      <c r="F141" s="108">
        <v>47939</v>
      </c>
      <c r="G141">
        <v>7.7000000000000002E-3</v>
      </c>
      <c r="K141" s="7" t="s">
        <v>1060</v>
      </c>
      <c r="L141" s="69">
        <f>L140*1.035</f>
        <v>7485.1846874999983</v>
      </c>
      <c r="N141" s="108">
        <v>47027</v>
      </c>
      <c r="O141" t="s">
        <v>1079</v>
      </c>
      <c r="P141" s="6" t="s">
        <v>1115</v>
      </c>
      <c r="Q141" s="108">
        <v>46661</v>
      </c>
      <c r="R141" s="6" t="s">
        <v>1108</v>
      </c>
      <c r="S141" s="6" t="s">
        <v>1062</v>
      </c>
      <c r="U141" s="108">
        <v>46082</v>
      </c>
      <c r="V141" t="s">
        <v>1148</v>
      </c>
      <c r="W141" s="6" t="s">
        <v>1171</v>
      </c>
      <c r="X141" s="6"/>
    </row>
    <row r="142" spans="5:24" x14ac:dyDescent="0.2">
      <c r="E142" s="6" t="s">
        <v>1264</v>
      </c>
      <c r="F142" s="108">
        <v>47969</v>
      </c>
      <c r="G142">
        <v>7.7000000000000002E-3</v>
      </c>
      <c r="K142" s="7" t="s">
        <v>1061</v>
      </c>
      <c r="L142" s="69">
        <f>L141*1.035</f>
        <v>7747.1661515624974</v>
      </c>
      <c r="N142" s="108">
        <v>47027</v>
      </c>
      <c r="O142" t="s">
        <v>1080</v>
      </c>
      <c r="P142" s="6" t="s">
        <v>1132</v>
      </c>
      <c r="Q142" s="108">
        <v>46661</v>
      </c>
      <c r="R142" s="6" t="s">
        <v>132</v>
      </c>
      <c r="S142" s="6" t="s">
        <v>1062</v>
      </c>
      <c r="U142" s="108">
        <v>46082</v>
      </c>
      <c r="V142" t="s">
        <v>1100</v>
      </c>
      <c r="W142" s="6" t="s">
        <v>1172</v>
      </c>
      <c r="X142" s="6"/>
    </row>
    <row r="143" spans="5:24" x14ac:dyDescent="0.2">
      <c r="E143" s="6" t="s">
        <v>1264</v>
      </c>
      <c r="F143" s="108">
        <v>48000</v>
      </c>
      <c r="G143">
        <v>7.7000000000000002E-3</v>
      </c>
      <c r="K143" s="7" t="s">
        <v>1062</v>
      </c>
      <c r="L143" s="69">
        <f>L142*1.035</f>
        <v>8018.3169668671844</v>
      </c>
      <c r="N143" s="108">
        <v>47058</v>
      </c>
      <c r="O143" t="s">
        <v>1081</v>
      </c>
      <c r="P143" s="6" t="s">
        <v>1115</v>
      </c>
      <c r="Q143" s="108">
        <v>46692</v>
      </c>
      <c r="R143" s="6" t="s">
        <v>1117</v>
      </c>
      <c r="S143" s="6" t="s">
        <v>1062</v>
      </c>
      <c r="U143" s="108">
        <v>46082</v>
      </c>
      <c r="V143" t="s">
        <v>1099</v>
      </c>
      <c r="W143" s="6" t="s">
        <v>1173</v>
      </c>
      <c r="X143" s="6"/>
    </row>
    <row r="144" spans="5:24" x14ac:dyDescent="0.2">
      <c r="E144" s="6" t="s">
        <v>1268</v>
      </c>
      <c r="F144" s="108">
        <v>48030</v>
      </c>
      <c r="G144">
        <v>7.7000000000000002E-3</v>
      </c>
      <c r="K144" s="7" t="s">
        <v>1115</v>
      </c>
      <c r="L144" s="69">
        <f t="shared" ref="L144:L145" si="0">L143*1.035</f>
        <v>8298.958060707535</v>
      </c>
      <c r="N144" s="108">
        <v>47058</v>
      </c>
      <c r="O144" t="s">
        <v>1082</v>
      </c>
      <c r="P144" s="6" t="s">
        <v>1132</v>
      </c>
      <c r="Q144" s="108">
        <v>46692</v>
      </c>
      <c r="R144" s="6" t="s">
        <v>142</v>
      </c>
      <c r="S144" s="6" t="s">
        <v>1115</v>
      </c>
      <c r="U144" s="108">
        <v>46113</v>
      </c>
      <c r="V144" t="s">
        <v>1100</v>
      </c>
      <c r="W144" s="6" t="s">
        <v>1172</v>
      </c>
      <c r="X144" s="6"/>
    </row>
    <row r="145" spans="5:24" x14ac:dyDescent="0.2">
      <c r="E145" s="6" t="s">
        <v>1268</v>
      </c>
      <c r="F145" s="108">
        <v>48061</v>
      </c>
      <c r="G145">
        <v>7.7000000000000002E-3</v>
      </c>
      <c r="K145" s="69" t="s">
        <v>1132</v>
      </c>
      <c r="L145" s="69">
        <f t="shared" si="0"/>
        <v>8589.4215928322974</v>
      </c>
      <c r="N145" s="108">
        <v>47088</v>
      </c>
      <c r="O145" t="s">
        <v>1083</v>
      </c>
      <c r="P145" s="6" t="s">
        <v>1115</v>
      </c>
      <c r="Q145" s="108">
        <v>46722</v>
      </c>
      <c r="R145" s="6" t="s">
        <v>1118</v>
      </c>
      <c r="S145" s="6" t="s">
        <v>1062</v>
      </c>
      <c r="U145" s="108">
        <v>46113</v>
      </c>
      <c r="V145" t="s">
        <v>132</v>
      </c>
      <c r="W145" s="6" t="s">
        <v>1172</v>
      </c>
      <c r="X145" s="6"/>
    </row>
    <row r="146" spans="5:24" x14ac:dyDescent="0.2">
      <c r="E146" s="6" t="s">
        <v>1268</v>
      </c>
      <c r="F146" s="108">
        <v>48092</v>
      </c>
      <c r="G146">
        <v>7.7000000000000002E-3</v>
      </c>
      <c r="N146" s="108">
        <v>47088</v>
      </c>
      <c r="O146" t="s">
        <v>1084</v>
      </c>
      <c r="P146" s="6" t="s">
        <v>1132</v>
      </c>
      <c r="Q146" s="108">
        <v>46722</v>
      </c>
      <c r="R146" s="6" t="s">
        <v>143</v>
      </c>
      <c r="S146" s="6" t="s">
        <v>1115</v>
      </c>
      <c r="U146" s="108">
        <v>46113</v>
      </c>
      <c r="V146" t="s">
        <v>1101</v>
      </c>
      <c r="W146" s="6" t="s">
        <v>1173</v>
      </c>
      <c r="X146" s="6"/>
    </row>
    <row r="147" spans="5:24" x14ac:dyDescent="0.2">
      <c r="E147" s="6" t="s">
        <v>1268</v>
      </c>
      <c r="F147" s="108">
        <v>48122</v>
      </c>
      <c r="G147">
        <v>7.7000000000000002E-3</v>
      </c>
      <c r="M147" s="108"/>
      <c r="N147" s="108">
        <v>47119</v>
      </c>
      <c r="O147" t="s">
        <v>1064</v>
      </c>
      <c r="P147" s="6" t="s">
        <v>1115</v>
      </c>
      <c r="Q147" s="108">
        <v>46753</v>
      </c>
      <c r="R147" s="6" t="s">
        <v>1095</v>
      </c>
      <c r="S147" s="6" t="s">
        <v>1062</v>
      </c>
      <c r="U147" s="108">
        <v>46143</v>
      </c>
      <c r="V147" t="s">
        <v>1102</v>
      </c>
      <c r="W147" s="6" t="s">
        <v>1172</v>
      </c>
      <c r="X147" s="6"/>
    </row>
    <row r="148" spans="5:24" x14ac:dyDescent="0.2">
      <c r="E148" s="6" t="s">
        <v>1268</v>
      </c>
      <c r="F148" s="108">
        <v>48153</v>
      </c>
      <c r="G148">
        <v>7.7000000000000002E-3</v>
      </c>
      <c r="M148" s="108"/>
      <c r="N148" s="108">
        <v>47119</v>
      </c>
      <c r="O148" t="s">
        <v>1065</v>
      </c>
      <c r="P148" s="6" t="s">
        <v>1132</v>
      </c>
      <c r="Q148" s="108">
        <v>46753</v>
      </c>
      <c r="R148" s="6" t="s">
        <v>14</v>
      </c>
      <c r="S148" s="6" t="s">
        <v>1115</v>
      </c>
      <c r="U148" s="108">
        <v>46143</v>
      </c>
      <c r="V148" t="s">
        <v>1101</v>
      </c>
      <c r="W148" s="6" t="s">
        <v>1173</v>
      </c>
      <c r="X148" s="6"/>
    </row>
    <row r="149" spans="5:24" x14ac:dyDescent="0.2">
      <c r="E149" s="6" t="s">
        <v>1268</v>
      </c>
      <c r="F149" s="108">
        <v>48183</v>
      </c>
      <c r="G149">
        <v>7.7000000000000002E-3</v>
      </c>
      <c r="M149" s="108"/>
      <c r="N149" s="108">
        <v>47150</v>
      </c>
      <c r="O149" t="s">
        <v>1066</v>
      </c>
      <c r="P149" s="6" t="s">
        <v>1115</v>
      </c>
      <c r="Q149" s="108">
        <v>46784</v>
      </c>
      <c r="R149" s="6" t="s">
        <v>1096</v>
      </c>
      <c r="S149" s="6" t="s">
        <v>1062</v>
      </c>
      <c r="U149" s="108">
        <v>46143</v>
      </c>
      <c r="V149" t="s">
        <v>1145</v>
      </c>
      <c r="W149" s="6" t="s">
        <v>1174</v>
      </c>
      <c r="X149" s="6"/>
    </row>
    <row r="150" spans="5:24" x14ac:dyDescent="0.2">
      <c r="E150" s="6" t="s">
        <v>1268</v>
      </c>
      <c r="F150" s="108">
        <v>48214</v>
      </c>
      <c r="G150">
        <v>7.7000000000000002E-3</v>
      </c>
      <c r="M150" s="108"/>
      <c r="N150" s="108">
        <v>47150</v>
      </c>
      <c r="O150" t="s">
        <v>1067</v>
      </c>
      <c r="P150" s="6" t="s">
        <v>1132</v>
      </c>
      <c r="Q150" s="108">
        <v>46784</v>
      </c>
      <c r="R150" s="6" t="s">
        <v>1097</v>
      </c>
      <c r="S150" s="6" t="s">
        <v>1115</v>
      </c>
      <c r="U150" s="108">
        <v>46174</v>
      </c>
      <c r="V150" t="s">
        <v>1104</v>
      </c>
      <c r="W150" s="6" t="s">
        <v>1172</v>
      </c>
      <c r="X150" s="6"/>
    </row>
    <row r="151" spans="5:24" x14ac:dyDescent="0.2">
      <c r="E151" s="6" t="s">
        <v>1268</v>
      </c>
      <c r="F151" s="108">
        <v>48245</v>
      </c>
      <c r="G151">
        <v>7.7000000000000002E-3</v>
      </c>
      <c r="M151" s="108"/>
      <c r="N151" s="108">
        <v>47178</v>
      </c>
      <c r="O151" t="s">
        <v>1068</v>
      </c>
      <c r="P151" s="6" t="s">
        <v>1115</v>
      </c>
      <c r="Q151" s="108">
        <v>46813</v>
      </c>
      <c r="R151" s="6" t="s">
        <v>1098</v>
      </c>
      <c r="S151" s="6" t="s">
        <v>1062</v>
      </c>
      <c r="U151" s="108">
        <v>46174</v>
      </c>
      <c r="V151" t="s">
        <v>1101</v>
      </c>
      <c r="W151" s="6" t="s">
        <v>1173</v>
      </c>
      <c r="X151" s="6"/>
    </row>
    <row r="152" spans="5:24" x14ac:dyDescent="0.2">
      <c r="E152" s="6" t="s">
        <v>1268</v>
      </c>
      <c r="F152" s="108">
        <v>48274</v>
      </c>
      <c r="G152">
        <v>7.7000000000000002E-3</v>
      </c>
      <c r="M152" s="108"/>
      <c r="N152" s="108">
        <v>47178</v>
      </c>
      <c r="O152" t="s">
        <v>1069</v>
      </c>
      <c r="P152" s="6" t="s">
        <v>1132</v>
      </c>
      <c r="Q152" s="108">
        <v>46813</v>
      </c>
      <c r="R152" s="6" t="s">
        <v>1099</v>
      </c>
      <c r="S152" s="6" t="s">
        <v>1115</v>
      </c>
      <c r="U152" s="108">
        <v>46174</v>
      </c>
      <c r="V152" t="s">
        <v>149</v>
      </c>
      <c r="W152" s="6" t="s">
        <v>1174</v>
      </c>
      <c r="X152" s="6"/>
    </row>
    <row r="153" spans="5:24" x14ac:dyDescent="0.2">
      <c r="E153" s="6" t="s">
        <v>1268</v>
      </c>
      <c r="F153" s="108">
        <v>48305</v>
      </c>
      <c r="G153">
        <v>7.7000000000000002E-3</v>
      </c>
      <c r="M153" s="108"/>
      <c r="N153" s="108">
        <v>47209</v>
      </c>
      <c r="O153" t="s">
        <v>1070</v>
      </c>
      <c r="P153" s="6" t="s">
        <v>1115</v>
      </c>
      <c r="Q153" s="108">
        <v>46844</v>
      </c>
      <c r="R153" s="6" t="s">
        <v>1100</v>
      </c>
      <c r="S153" s="6" t="s">
        <v>1062</v>
      </c>
      <c r="U153" s="108">
        <v>46204</v>
      </c>
      <c r="V153" t="s">
        <v>1080</v>
      </c>
      <c r="W153" s="6" t="s">
        <v>1172</v>
      </c>
      <c r="X153" s="6"/>
    </row>
    <row r="154" spans="5:24" x14ac:dyDescent="0.2">
      <c r="E154" s="6" t="s">
        <v>1268</v>
      </c>
      <c r="F154" s="108">
        <v>48335</v>
      </c>
      <c r="G154">
        <v>7.7000000000000002E-3</v>
      </c>
      <c r="M154" s="108"/>
      <c r="N154" s="108">
        <v>47209</v>
      </c>
      <c r="O154" t="s">
        <v>1071</v>
      </c>
      <c r="P154" s="6" t="s">
        <v>1132</v>
      </c>
      <c r="Q154" s="108">
        <v>46844</v>
      </c>
      <c r="R154" s="6" t="s">
        <v>1101</v>
      </c>
      <c r="S154" s="6" t="s">
        <v>1115</v>
      </c>
      <c r="U154" s="108">
        <v>46204</v>
      </c>
      <c r="V154" t="s">
        <v>1101</v>
      </c>
      <c r="W154" s="6" t="s">
        <v>1173</v>
      </c>
      <c r="X154" s="6"/>
    </row>
    <row r="155" spans="5:24" x14ac:dyDescent="0.2">
      <c r="E155" s="6" t="s">
        <v>1268</v>
      </c>
      <c r="F155" s="108">
        <v>48366</v>
      </c>
      <c r="G155">
        <v>7.7000000000000002E-3</v>
      </c>
      <c r="M155" s="108"/>
      <c r="N155" s="108">
        <v>47239</v>
      </c>
      <c r="O155" t="s">
        <v>1072</v>
      </c>
      <c r="P155" s="6" t="s">
        <v>1115</v>
      </c>
      <c r="Q155" s="108">
        <v>46874</v>
      </c>
      <c r="R155" s="6" t="s">
        <v>1102</v>
      </c>
      <c r="S155" s="6" t="s">
        <v>1062</v>
      </c>
      <c r="U155" s="108">
        <v>46204</v>
      </c>
      <c r="V155" t="s">
        <v>1070</v>
      </c>
      <c r="W155" s="6" t="s">
        <v>1174</v>
      </c>
      <c r="X155" s="6"/>
    </row>
    <row r="156" spans="5:24" x14ac:dyDescent="0.2">
      <c r="N156" s="108">
        <v>47239</v>
      </c>
      <c r="O156" t="s">
        <v>1073</v>
      </c>
      <c r="P156" s="6" t="s">
        <v>1132</v>
      </c>
      <c r="Q156" s="108">
        <v>46874</v>
      </c>
      <c r="R156" s="6" t="s">
        <v>1103</v>
      </c>
      <c r="S156" s="6" t="s">
        <v>1115</v>
      </c>
      <c r="U156" s="108">
        <v>46235</v>
      </c>
      <c r="V156" t="s">
        <v>1106</v>
      </c>
      <c r="W156" s="6" t="s">
        <v>1172</v>
      </c>
      <c r="X156" s="6"/>
    </row>
    <row r="157" spans="5:24" x14ac:dyDescent="0.2">
      <c r="K157" t="s">
        <v>1090</v>
      </c>
      <c r="L157" s="19" t="s">
        <v>1089</v>
      </c>
      <c r="M157" s="19" t="s">
        <v>1091</v>
      </c>
      <c r="N157" s="108">
        <v>47270</v>
      </c>
      <c r="O157" t="s">
        <v>204</v>
      </c>
      <c r="P157" s="6" t="s">
        <v>1115</v>
      </c>
      <c r="Q157" s="108">
        <v>46905</v>
      </c>
      <c r="R157" s="6" t="s">
        <v>1104</v>
      </c>
      <c r="S157" s="6" t="s">
        <v>1062</v>
      </c>
      <c r="U157" s="108">
        <v>46235</v>
      </c>
      <c r="V157" t="s">
        <v>1101</v>
      </c>
      <c r="W157" s="6" t="s">
        <v>1173</v>
      </c>
      <c r="X157" s="6"/>
    </row>
    <row r="158" spans="5:24" x14ac:dyDescent="0.2">
      <c r="K158" t="s">
        <v>180</v>
      </c>
      <c r="L158" s="69">
        <v>4928.92</v>
      </c>
      <c r="M158" s="69" t="s">
        <v>1058</v>
      </c>
      <c r="N158" s="108">
        <v>47270</v>
      </c>
      <c r="O158" s="6" t="s">
        <v>1074</v>
      </c>
      <c r="P158" s="6" t="s">
        <v>1132</v>
      </c>
      <c r="Q158" s="108">
        <v>46905</v>
      </c>
      <c r="R158" s="6" t="s">
        <v>1105</v>
      </c>
      <c r="S158" s="6" t="s">
        <v>1115</v>
      </c>
      <c r="U158" s="108">
        <v>46235</v>
      </c>
      <c r="V158" t="s">
        <v>1164</v>
      </c>
      <c r="W158" s="6" t="s">
        <v>1174</v>
      </c>
      <c r="X158" s="6"/>
    </row>
    <row r="159" spans="5:24" x14ac:dyDescent="0.2">
      <c r="K159" t="s">
        <v>180</v>
      </c>
      <c r="L159" s="69">
        <v>5108.33</v>
      </c>
      <c r="M159" s="69" t="s">
        <v>1059</v>
      </c>
      <c r="N159" s="108">
        <v>47300</v>
      </c>
      <c r="O159" t="s">
        <v>1075</v>
      </c>
      <c r="P159" s="6" t="s">
        <v>1132</v>
      </c>
      <c r="Q159" s="108">
        <v>46935</v>
      </c>
      <c r="R159" s="6" t="s">
        <v>1080</v>
      </c>
      <c r="S159" s="6" t="s">
        <v>1062</v>
      </c>
      <c r="U159" s="108">
        <v>46266</v>
      </c>
      <c r="V159" t="s">
        <v>12</v>
      </c>
      <c r="W159" s="6" t="s">
        <v>1172</v>
      </c>
      <c r="X159" s="6"/>
    </row>
    <row r="160" spans="5:24" x14ac:dyDescent="0.2">
      <c r="K160" t="s">
        <v>180</v>
      </c>
      <c r="L160" s="69">
        <f>L159*1.035</f>
        <v>5287.1215499999998</v>
      </c>
      <c r="M160" s="69" t="s">
        <v>1060</v>
      </c>
      <c r="N160" s="108">
        <v>47300</v>
      </c>
      <c r="O160" s="6" t="s">
        <v>132</v>
      </c>
      <c r="P160" s="6" t="s">
        <v>1132</v>
      </c>
      <c r="Q160" s="108">
        <v>46935</v>
      </c>
      <c r="R160" s="6" t="s">
        <v>1079</v>
      </c>
      <c r="S160" s="6" t="s">
        <v>1115</v>
      </c>
      <c r="U160" s="108">
        <v>46266</v>
      </c>
      <c r="V160" t="s">
        <v>1101</v>
      </c>
      <c r="W160" s="6" t="s">
        <v>1173</v>
      </c>
      <c r="X160" s="6"/>
    </row>
    <row r="161" spans="11:24" x14ac:dyDescent="0.2">
      <c r="K161" t="s">
        <v>180</v>
      </c>
      <c r="L161" s="69">
        <f>L160*1.035</f>
        <v>5472.1708042499995</v>
      </c>
      <c r="M161" s="69" t="s">
        <v>1061</v>
      </c>
      <c r="N161" s="108">
        <v>47331</v>
      </c>
      <c r="O161" s="6" t="s">
        <v>1076</v>
      </c>
      <c r="P161" s="6" t="s">
        <v>1132</v>
      </c>
      <c r="Q161" s="108">
        <v>46966</v>
      </c>
      <c r="R161" s="6" t="s">
        <v>1106</v>
      </c>
      <c r="S161" s="6" t="s">
        <v>1062</v>
      </c>
      <c r="U161" s="108">
        <v>46266</v>
      </c>
      <c r="V161" t="s">
        <v>1165</v>
      </c>
      <c r="W161" s="6" t="s">
        <v>1174</v>
      </c>
      <c r="X161" s="6"/>
    </row>
    <row r="162" spans="11:24" x14ac:dyDescent="0.2">
      <c r="K162" t="s">
        <v>180</v>
      </c>
      <c r="L162" s="69">
        <f>L161*1.04</f>
        <v>5691.0576364199997</v>
      </c>
      <c r="M162" s="69" t="s">
        <v>1062</v>
      </c>
      <c r="N162" s="108">
        <v>47331</v>
      </c>
      <c r="O162" s="6" t="s">
        <v>1077</v>
      </c>
      <c r="P162" s="6" t="s">
        <v>1264</v>
      </c>
      <c r="Q162" s="108">
        <v>46966</v>
      </c>
      <c r="R162" s="6" t="s">
        <v>1107</v>
      </c>
      <c r="S162" s="6" t="s">
        <v>1115</v>
      </c>
      <c r="U162" s="108">
        <v>46296</v>
      </c>
      <c r="V162" t="s">
        <v>1101</v>
      </c>
      <c r="W162" s="6" t="s">
        <v>1173</v>
      </c>
      <c r="X162" s="6"/>
    </row>
    <row r="163" spans="11:24" x14ac:dyDescent="0.2">
      <c r="K163" t="s">
        <v>180</v>
      </c>
      <c r="L163" s="69">
        <f t="shared" ref="L163:L165" si="1">L162*1.04</f>
        <v>5918.6999418768</v>
      </c>
      <c r="M163" s="69" t="s">
        <v>1115</v>
      </c>
      <c r="N163" s="108">
        <v>47362</v>
      </c>
      <c r="O163" s="6" t="s">
        <v>1078</v>
      </c>
      <c r="P163" s="6" t="s">
        <v>1132</v>
      </c>
      <c r="Q163" s="108">
        <v>46997</v>
      </c>
      <c r="R163" s="6" t="s">
        <v>12</v>
      </c>
      <c r="S163" s="6" t="s">
        <v>1062</v>
      </c>
      <c r="U163" s="108">
        <v>46296</v>
      </c>
      <c r="V163" t="s">
        <v>1100</v>
      </c>
      <c r="W163" s="6" t="s">
        <v>1174</v>
      </c>
      <c r="X163" s="6"/>
    </row>
    <row r="164" spans="11:24" x14ac:dyDescent="0.2">
      <c r="K164" t="s">
        <v>180</v>
      </c>
      <c r="L164" s="69">
        <f t="shared" si="1"/>
        <v>6155.447939551872</v>
      </c>
      <c r="M164" s="69" t="s">
        <v>1132</v>
      </c>
      <c r="N164" s="108">
        <v>47362</v>
      </c>
      <c r="O164" t="s">
        <v>138</v>
      </c>
      <c r="P164" s="6" t="s">
        <v>1264</v>
      </c>
      <c r="Q164" s="108">
        <v>46997</v>
      </c>
      <c r="R164" s="6" t="s">
        <v>1109</v>
      </c>
      <c r="S164" s="6" t="s">
        <v>1115</v>
      </c>
      <c r="U164" s="108">
        <v>46296</v>
      </c>
      <c r="V164" t="s">
        <v>132</v>
      </c>
      <c r="W164" s="6" t="s">
        <v>1174</v>
      </c>
      <c r="X164" s="6"/>
    </row>
    <row r="165" spans="11:24" x14ac:dyDescent="0.2">
      <c r="K165" t="s">
        <v>180</v>
      </c>
      <c r="L165" s="69">
        <f t="shared" si="1"/>
        <v>6401.6658571339467</v>
      </c>
      <c r="M165" s="7" t="s">
        <v>1264</v>
      </c>
      <c r="N165" s="127">
        <v>47392</v>
      </c>
      <c r="O165" t="s">
        <v>1079</v>
      </c>
      <c r="P165" s="6" t="s">
        <v>1132</v>
      </c>
      <c r="Q165" s="108">
        <v>47027</v>
      </c>
      <c r="R165" s="6" t="s">
        <v>1108</v>
      </c>
      <c r="S165" s="6" t="s">
        <v>1115</v>
      </c>
      <c r="U165" s="108">
        <v>46327</v>
      </c>
      <c r="V165" t="s">
        <v>1162</v>
      </c>
      <c r="W165" s="6" t="s">
        <v>1173</v>
      </c>
      <c r="X165" s="6"/>
    </row>
    <row r="166" spans="11:24" x14ac:dyDescent="0.2">
      <c r="K166" t="s">
        <v>181</v>
      </c>
      <c r="L166" s="69">
        <v>5208.33</v>
      </c>
      <c r="M166" s="69" t="s">
        <v>1058</v>
      </c>
      <c r="N166" s="108">
        <v>47392</v>
      </c>
      <c r="O166" t="s">
        <v>1080</v>
      </c>
      <c r="P166" s="6" t="s">
        <v>1264</v>
      </c>
      <c r="Q166" s="108">
        <v>47027</v>
      </c>
      <c r="R166" s="6" t="s">
        <v>132</v>
      </c>
      <c r="S166" s="6" t="s">
        <v>1115</v>
      </c>
      <c r="U166" s="108">
        <v>46327</v>
      </c>
      <c r="V166" t="s">
        <v>1100</v>
      </c>
      <c r="W166" s="6" t="s">
        <v>1174</v>
      </c>
      <c r="X166" s="6"/>
    </row>
    <row r="167" spans="11:24" x14ac:dyDescent="0.2">
      <c r="K167" t="s">
        <v>181</v>
      </c>
      <c r="L167" s="69">
        <v>5391.67</v>
      </c>
      <c r="M167" s="69" t="s">
        <v>1059</v>
      </c>
      <c r="N167" s="108">
        <v>47423</v>
      </c>
      <c r="O167" t="s">
        <v>1081</v>
      </c>
      <c r="P167" s="6" t="s">
        <v>1132</v>
      </c>
      <c r="Q167" s="108">
        <v>47058</v>
      </c>
      <c r="R167" s="6" t="s">
        <v>1117</v>
      </c>
      <c r="S167" s="6" t="s">
        <v>1115</v>
      </c>
      <c r="U167" s="108">
        <v>46327</v>
      </c>
      <c r="V167" t="s">
        <v>142</v>
      </c>
      <c r="W167" s="6" t="s">
        <v>1175</v>
      </c>
      <c r="X167" s="6"/>
    </row>
    <row r="168" spans="11:24" x14ac:dyDescent="0.2">
      <c r="K168" t="s">
        <v>181</v>
      </c>
      <c r="L168" s="69">
        <f>L167*1.035</f>
        <v>5580.3784499999992</v>
      </c>
      <c r="M168" s="69" t="s">
        <v>1060</v>
      </c>
      <c r="N168" s="108">
        <v>47423</v>
      </c>
      <c r="O168" t="s">
        <v>1082</v>
      </c>
      <c r="P168" s="6" t="s">
        <v>1264</v>
      </c>
      <c r="Q168" s="108">
        <v>47058</v>
      </c>
      <c r="R168" s="6" t="s">
        <v>142</v>
      </c>
      <c r="S168" s="6" t="s">
        <v>1132</v>
      </c>
      <c r="U168" s="108">
        <v>46357</v>
      </c>
      <c r="V168" t="s">
        <v>1163</v>
      </c>
      <c r="W168" s="6" t="s">
        <v>1173</v>
      </c>
      <c r="X168" s="6"/>
    </row>
    <row r="169" spans="11:24" x14ac:dyDescent="0.2">
      <c r="K169" t="s">
        <v>181</v>
      </c>
      <c r="L169" s="69">
        <f>L168*1.035</f>
        <v>5775.6916957499989</v>
      </c>
      <c r="M169" s="69" t="s">
        <v>1061</v>
      </c>
      <c r="N169" s="108">
        <v>47453</v>
      </c>
      <c r="O169" t="s">
        <v>1083</v>
      </c>
      <c r="P169" s="6" t="s">
        <v>1132</v>
      </c>
      <c r="Q169" s="108">
        <v>47088</v>
      </c>
      <c r="R169" s="6" t="s">
        <v>1118</v>
      </c>
      <c r="S169" s="6" t="s">
        <v>1115</v>
      </c>
      <c r="U169" s="108">
        <v>46357</v>
      </c>
      <c r="V169" t="s">
        <v>1100</v>
      </c>
      <c r="W169" s="6" t="s">
        <v>1174</v>
      </c>
      <c r="X169" s="6"/>
    </row>
    <row r="170" spans="11:24" x14ac:dyDescent="0.2">
      <c r="K170" t="s">
        <v>181</v>
      </c>
      <c r="L170" s="69">
        <f>L169*1.04</f>
        <v>6006.7193635799995</v>
      </c>
      <c r="M170" s="69" t="s">
        <v>1062</v>
      </c>
      <c r="N170" s="108">
        <v>47453</v>
      </c>
      <c r="O170" t="s">
        <v>1084</v>
      </c>
      <c r="P170" s="6" t="s">
        <v>1264</v>
      </c>
      <c r="Q170" s="108">
        <v>47088</v>
      </c>
      <c r="R170" s="6" t="s">
        <v>143</v>
      </c>
      <c r="S170" s="6" t="s">
        <v>1132</v>
      </c>
      <c r="U170" s="108">
        <v>46357</v>
      </c>
      <c r="V170" t="s">
        <v>143</v>
      </c>
      <c r="W170" s="6" t="s">
        <v>1175</v>
      </c>
      <c r="X170" s="6"/>
    </row>
    <row r="171" spans="11:24" x14ac:dyDescent="0.2">
      <c r="K171" t="s">
        <v>181</v>
      </c>
      <c r="L171" s="69">
        <f t="shared" ref="L171:L173" si="2">L170*1.04</f>
        <v>6246.9881381231999</v>
      </c>
      <c r="M171" s="69" t="s">
        <v>1115</v>
      </c>
      <c r="N171" s="108">
        <v>47484</v>
      </c>
      <c r="O171" t="s">
        <v>1064</v>
      </c>
      <c r="P171" s="6" t="s">
        <v>1132</v>
      </c>
      <c r="Q171" s="108">
        <v>47119</v>
      </c>
      <c r="R171" s="6" t="s">
        <v>1095</v>
      </c>
      <c r="S171" s="6" t="s">
        <v>1115</v>
      </c>
      <c r="U171" s="108">
        <v>46388</v>
      </c>
      <c r="V171" t="s">
        <v>150</v>
      </c>
      <c r="W171" s="6" t="s">
        <v>1173</v>
      </c>
      <c r="X171" s="6"/>
    </row>
    <row r="172" spans="11:24" x14ac:dyDescent="0.2">
      <c r="K172" t="s">
        <v>181</v>
      </c>
      <c r="L172" s="69">
        <f t="shared" si="2"/>
        <v>6496.8676636481277</v>
      </c>
      <c r="M172" s="69" t="s">
        <v>1132</v>
      </c>
      <c r="N172" s="108">
        <v>47484</v>
      </c>
      <c r="O172" t="s">
        <v>1065</v>
      </c>
      <c r="P172" s="6" t="s">
        <v>1264</v>
      </c>
      <c r="Q172" s="108">
        <v>47119</v>
      </c>
      <c r="R172" s="6" t="s">
        <v>14</v>
      </c>
      <c r="S172" s="6" t="s">
        <v>1132</v>
      </c>
      <c r="U172" s="108">
        <v>46388</v>
      </c>
      <c r="V172" t="s">
        <v>1100</v>
      </c>
      <c r="W172" s="6" t="s">
        <v>1174</v>
      </c>
      <c r="X172" s="6"/>
    </row>
    <row r="173" spans="11:24" x14ac:dyDescent="0.2">
      <c r="K173" t="s">
        <v>181</v>
      </c>
      <c r="L173" s="69">
        <f t="shared" si="2"/>
        <v>6756.7423701940534</v>
      </c>
      <c r="M173" s="7" t="s">
        <v>1264</v>
      </c>
      <c r="N173" s="108">
        <v>47515</v>
      </c>
      <c r="O173" t="s">
        <v>1066</v>
      </c>
      <c r="P173" s="6" t="s">
        <v>1132</v>
      </c>
      <c r="Q173" s="108">
        <v>47150</v>
      </c>
      <c r="R173" s="6" t="s">
        <v>1096</v>
      </c>
      <c r="S173" s="6" t="s">
        <v>1115</v>
      </c>
      <c r="U173" s="108">
        <v>46388</v>
      </c>
      <c r="V173" t="s">
        <v>14</v>
      </c>
      <c r="W173" s="6" t="s">
        <v>1173</v>
      </c>
      <c r="X173" s="6"/>
    </row>
    <row r="174" spans="11:24" x14ac:dyDescent="0.2">
      <c r="K174" t="s">
        <v>182</v>
      </c>
      <c r="L174" s="69">
        <v>5491.67</v>
      </c>
      <c r="M174" s="69" t="s">
        <v>1058</v>
      </c>
      <c r="N174" s="108">
        <v>47515</v>
      </c>
      <c r="O174" t="s">
        <v>1067</v>
      </c>
      <c r="P174" s="6" t="s">
        <v>1264</v>
      </c>
      <c r="Q174" s="108">
        <v>47150</v>
      </c>
      <c r="R174" s="6" t="s">
        <v>1097</v>
      </c>
      <c r="S174" s="6" t="s">
        <v>1132</v>
      </c>
      <c r="U174" s="108">
        <v>46419</v>
      </c>
      <c r="V174" t="s">
        <v>1161</v>
      </c>
      <c r="W174" s="6" t="s">
        <v>1173</v>
      </c>
      <c r="X174" s="6"/>
    </row>
    <row r="175" spans="11:24" x14ac:dyDescent="0.2">
      <c r="K175" t="s">
        <v>182</v>
      </c>
      <c r="L175" s="69">
        <v>5691.67</v>
      </c>
      <c r="M175" s="69" t="s">
        <v>1059</v>
      </c>
      <c r="N175" s="108">
        <v>47543</v>
      </c>
      <c r="O175" t="s">
        <v>1068</v>
      </c>
      <c r="P175" s="6" t="s">
        <v>1132</v>
      </c>
      <c r="Q175" s="108">
        <v>47178</v>
      </c>
      <c r="R175" s="6" t="s">
        <v>1098</v>
      </c>
      <c r="S175" s="6" t="s">
        <v>1115</v>
      </c>
      <c r="U175" s="108">
        <v>46419</v>
      </c>
      <c r="V175" t="s">
        <v>1100</v>
      </c>
      <c r="W175" s="6" t="s">
        <v>1174</v>
      </c>
      <c r="X175" s="6"/>
    </row>
    <row r="176" spans="11:24" x14ac:dyDescent="0.2">
      <c r="K176" t="s">
        <v>182</v>
      </c>
      <c r="L176" s="69">
        <f>L175*1.035</f>
        <v>5890.8784499999992</v>
      </c>
      <c r="M176" s="69" t="s">
        <v>1060</v>
      </c>
      <c r="N176" s="108">
        <v>47543</v>
      </c>
      <c r="O176" t="s">
        <v>1069</v>
      </c>
      <c r="P176" s="6" t="s">
        <v>1264</v>
      </c>
      <c r="Q176" s="108">
        <v>47178</v>
      </c>
      <c r="R176" s="6" t="s">
        <v>1099</v>
      </c>
      <c r="S176" s="6" t="s">
        <v>1132</v>
      </c>
      <c r="U176" s="108">
        <v>46419</v>
      </c>
      <c r="V176" t="s">
        <v>1097</v>
      </c>
      <c r="W176" s="6" t="s">
        <v>1175</v>
      </c>
      <c r="X176" s="6"/>
    </row>
    <row r="177" spans="11:24" x14ac:dyDescent="0.2">
      <c r="K177" t="s">
        <v>182</v>
      </c>
      <c r="L177" s="69">
        <f>L176*1.035</f>
        <v>6097.0591957499992</v>
      </c>
      <c r="M177" s="69" t="s">
        <v>1061</v>
      </c>
      <c r="N177" s="108">
        <v>47574</v>
      </c>
      <c r="O177" t="s">
        <v>1070</v>
      </c>
      <c r="P177" s="6" t="s">
        <v>1132</v>
      </c>
      <c r="Q177" s="108">
        <v>47209</v>
      </c>
      <c r="R177" s="6" t="s">
        <v>1100</v>
      </c>
      <c r="S177" s="6" t="s">
        <v>1115</v>
      </c>
      <c r="U177" s="108">
        <v>46447</v>
      </c>
      <c r="V177" t="s">
        <v>1148</v>
      </c>
      <c r="W177" s="6" t="s">
        <v>1173</v>
      </c>
      <c r="X177" s="6"/>
    </row>
    <row r="178" spans="11:24" x14ac:dyDescent="0.2">
      <c r="K178" t="s">
        <v>182</v>
      </c>
      <c r="L178" s="69">
        <f>L177*1.04</f>
        <v>6340.9415635799996</v>
      </c>
      <c r="M178" s="69" t="s">
        <v>1062</v>
      </c>
      <c r="N178" s="108">
        <v>47574</v>
      </c>
      <c r="O178" t="s">
        <v>1071</v>
      </c>
      <c r="P178" s="6" t="s">
        <v>1264</v>
      </c>
      <c r="Q178" s="108">
        <v>47209</v>
      </c>
      <c r="R178" s="6" t="s">
        <v>1101</v>
      </c>
      <c r="S178" s="6" t="s">
        <v>1132</v>
      </c>
      <c r="U178" s="108">
        <v>46447</v>
      </c>
      <c r="V178" t="s">
        <v>1100</v>
      </c>
      <c r="W178" s="6" t="s">
        <v>1174</v>
      </c>
      <c r="X178" s="6"/>
    </row>
    <row r="179" spans="11:24" x14ac:dyDescent="0.2">
      <c r="K179" t="s">
        <v>182</v>
      </c>
      <c r="L179" s="69">
        <f t="shared" ref="L179:L181" si="3">L178*1.04</f>
        <v>6594.5792261232</v>
      </c>
      <c r="M179" s="69" t="s">
        <v>1115</v>
      </c>
      <c r="N179" s="108">
        <v>47604</v>
      </c>
      <c r="O179" t="s">
        <v>1072</v>
      </c>
      <c r="P179" s="6" t="s">
        <v>1132</v>
      </c>
      <c r="Q179" s="108">
        <v>47239</v>
      </c>
      <c r="R179" s="6" t="s">
        <v>1102</v>
      </c>
      <c r="S179" s="6" t="s">
        <v>1115</v>
      </c>
      <c r="U179" s="108">
        <v>46447</v>
      </c>
      <c r="V179" t="s">
        <v>1099</v>
      </c>
      <c r="W179" s="6" t="s">
        <v>1175</v>
      </c>
      <c r="X179" s="6"/>
    </row>
    <row r="180" spans="11:24" x14ac:dyDescent="0.2">
      <c r="K180" t="s">
        <v>182</v>
      </c>
      <c r="L180" s="69">
        <f t="shared" si="3"/>
        <v>6858.3623951681284</v>
      </c>
      <c r="M180" s="69" t="s">
        <v>1132</v>
      </c>
      <c r="N180" s="108">
        <v>47604</v>
      </c>
      <c r="O180" t="s">
        <v>1073</v>
      </c>
      <c r="P180" s="6" t="s">
        <v>1264</v>
      </c>
      <c r="Q180" s="108">
        <v>47239</v>
      </c>
      <c r="R180" s="6" t="s">
        <v>1103</v>
      </c>
      <c r="S180" s="6" t="s">
        <v>1132</v>
      </c>
      <c r="U180" s="108">
        <v>46478</v>
      </c>
      <c r="V180" t="s">
        <v>1100</v>
      </c>
      <c r="W180" s="6" t="s">
        <v>1174</v>
      </c>
      <c r="X180" s="6"/>
    </row>
    <row r="181" spans="11:24" x14ac:dyDescent="0.2">
      <c r="K181" t="s">
        <v>182</v>
      </c>
      <c r="L181" s="69">
        <f t="shared" si="3"/>
        <v>7132.6968909748539</v>
      </c>
      <c r="M181" s="7" t="s">
        <v>1264</v>
      </c>
      <c r="N181" s="108">
        <v>47635</v>
      </c>
      <c r="O181" t="s">
        <v>204</v>
      </c>
      <c r="P181" s="6" t="s">
        <v>1132</v>
      </c>
      <c r="Q181" s="108">
        <v>47270</v>
      </c>
      <c r="R181" s="6" t="s">
        <v>1104</v>
      </c>
      <c r="S181" s="6" t="s">
        <v>1115</v>
      </c>
      <c r="U181" s="108">
        <v>46478</v>
      </c>
      <c r="V181" t="s">
        <v>132</v>
      </c>
      <c r="W181" s="6" t="s">
        <v>1174</v>
      </c>
      <c r="X181" s="6"/>
    </row>
    <row r="182" spans="11:24" x14ac:dyDescent="0.2">
      <c r="K182" t="s">
        <v>183</v>
      </c>
      <c r="L182" s="69">
        <v>5875</v>
      </c>
      <c r="M182" s="69" t="s">
        <v>1058</v>
      </c>
      <c r="N182" s="108">
        <v>47635</v>
      </c>
      <c r="O182" s="6" t="s">
        <v>1074</v>
      </c>
      <c r="P182" s="6" t="s">
        <v>1264</v>
      </c>
      <c r="Q182" s="108">
        <v>47270</v>
      </c>
      <c r="R182" s="6" t="s">
        <v>1105</v>
      </c>
      <c r="S182" s="6" t="s">
        <v>1132</v>
      </c>
      <c r="U182" s="108">
        <v>46478</v>
      </c>
      <c r="V182" t="s">
        <v>1101</v>
      </c>
      <c r="W182" s="6" t="s">
        <v>1175</v>
      </c>
      <c r="X182" s="6"/>
    </row>
    <row r="183" spans="11:24" x14ac:dyDescent="0.2">
      <c r="K183" t="s">
        <v>183</v>
      </c>
      <c r="L183" s="69">
        <v>6083.33</v>
      </c>
      <c r="M183" s="69" t="s">
        <v>1059</v>
      </c>
      <c r="N183" s="108">
        <v>47665</v>
      </c>
      <c r="O183" t="s">
        <v>1075</v>
      </c>
      <c r="P183" s="6" t="s">
        <v>1264</v>
      </c>
      <c r="Q183" s="108">
        <v>47300</v>
      </c>
      <c r="R183" s="6" t="s">
        <v>1080</v>
      </c>
      <c r="S183" s="6" t="s">
        <v>1115</v>
      </c>
      <c r="U183" s="108">
        <v>46508</v>
      </c>
      <c r="V183" t="s">
        <v>1102</v>
      </c>
      <c r="W183" s="6" t="s">
        <v>1174</v>
      </c>
      <c r="X183" s="6"/>
    </row>
    <row r="184" spans="11:24" x14ac:dyDescent="0.2">
      <c r="K184" t="s">
        <v>183</v>
      </c>
      <c r="L184" s="69">
        <f>L183*1.035</f>
        <v>6296.2465499999998</v>
      </c>
      <c r="M184" s="69" t="s">
        <v>1060</v>
      </c>
      <c r="N184" s="108">
        <v>47665</v>
      </c>
      <c r="O184" s="6" t="s">
        <v>132</v>
      </c>
      <c r="P184" s="6" t="s">
        <v>1264</v>
      </c>
      <c r="Q184" s="108">
        <v>47300</v>
      </c>
      <c r="R184" s="6" t="s">
        <v>1079</v>
      </c>
      <c r="S184" s="6" t="s">
        <v>1132</v>
      </c>
      <c r="U184" s="108">
        <v>46508</v>
      </c>
      <c r="V184" t="s">
        <v>1101</v>
      </c>
      <c r="W184" s="6" t="s">
        <v>1175</v>
      </c>
      <c r="X184" s="6"/>
    </row>
    <row r="185" spans="11:24" x14ac:dyDescent="0.2">
      <c r="K185" t="s">
        <v>183</v>
      </c>
      <c r="L185" s="69">
        <f>L184*1.035</f>
        <v>6516.6151792499995</v>
      </c>
      <c r="M185" s="69" t="s">
        <v>1061</v>
      </c>
      <c r="N185" s="108">
        <v>47696</v>
      </c>
      <c r="O185" s="6" t="s">
        <v>1076</v>
      </c>
      <c r="P185" s="6" t="s">
        <v>1264</v>
      </c>
      <c r="Q185" s="108">
        <v>47331</v>
      </c>
      <c r="R185" s="6" t="s">
        <v>1106</v>
      </c>
      <c r="S185" s="6" t="s">
        <v>1115</v>
      </c>
      <c r="U185" s="108">
        <v>46508</v>
      </c>
      <c r="V185" t="s">
        <v>1145</v>
      </c>
      <c r="W185" s="6" t="s">
        <v>1176</v>
      </c>
      <c r="X185" s="6"/>
    </row>
    <row r="186" spans="11:24" x14ac:dyDescent="0.2">
      <c r="K186" t="s">
        <v>183</v>
      </c>
      <c r="L186" s="69">
        <f>L185*1.04</f>
        <v>6777.2797864200002</v>
      </c>
      <c r="M186" s="69" t="s">
        <v>1062</v>
      </c>
      <c r="N186" s="108">
        <v>47696</v>
      </c>
      <c r="O186" s="6" t="s">
        <v>1077</v>
      </c>
      <c r="P186" s="6" t="s">
        <v>1268</v>
      </c>
      <c r="Q186" s="108">
        <v>47331</v>
      </c>
      <c r="R186" s="6" t="s">
        <v>1107</v>
      </c>
      <c r="S186" s="6" t="s">
        <v>1132</v>
      </c>
      <c r="U186" s="108">
        <v>46539</v>
      </c>
      <c r="V186" t="s">
        <v>1104</v>
      </c>
      <c r="W186" s="6" t="s">
        <v>1174</v>
      </c>
      <c r="X186" s="6"/>
    </row>
    <row r="187" spans="11:24" x14ac:dyDescent="0.2">
      <c r="K187" t="s">
        <v>183</v>
      </c>
      <c r="L187" s="69">
        <f t="shared" ref="L187:L189" si="4">L186*1.04</f>
        <v>7048.3709778768007</v>
      </c>
      <c r="M187" s="69" t="s">
        <v>1115</v>
      </c>
      <c r="N187" s="108">
        <v>47727</v>
      </c>
      <c r="O187" s="6" t="s">
        <v>1078</v>
      </c>
      <c r="P187" s="6" t="s">
        <v>1264</v>
      </c>
      <c r="Q187" s="108">
        <v>47362</v>
      </c>
      <c r="R187" s="6" t="s">
        <v>12</v>
      </c>
      <c r="S187" s="6" t="s">
        <v>1115</v>
      </c>
      <c r="U187" s="108">
        <v>46539</v>
      </c>
      <c r="V187" t="s">
        <v>1101</v>
      </c>
      <c r="W187" s="6" t="s">
        <v>1175</v>
      </c>
      <c r="X187" s="6"/>
    </row>
    <row r="188" spans="11:24" x14ac:dyDescent="0.2">
      <c r="K188" t="s">
        <v>183</v>
      </c>
      <c r="L188" s="69">
        <f t="shared" si="4"/>
        <v>7330.3058169918731</v>
      </c>
      <c r="M188" s="69" t="s">
        <v>1132</v>
      </c>
      <c r="N188" s="108">
        <v>47727</v>
      </c>
      <c r="O188" t="s">
        <v>138</v>
      </c>
      <c r="P188" s="6" t="s">
        <v>1268</v>
      </c>
      <c r="Q188" s="108">
        <v>47362</v>
      </c>
      <c r="R188" s="6" t="s">
        <v>1109</v>
      </c>
      <c r="S188" s="6" t="s">
        <v>1132</v>
      </c>
      <c r="U188" s="108">
        <v>46539</v>
      </c>
      <c r="V188" t="s">
        <v>149</v>
      </c>
      <c r="W188" s="6" t="s">
        <v>1176</v>
      </c>
      <c r="X188" s="6"/>
    </row>
    <row r="189" spans="11:24" x14ac:dyDescent="0.2">
      <c r="K189" t="s">
        <v>183</v>
      </c>
      <c r="L189" s="69">
        <f t="shared" si="4"/>
        <v>7623.5180496715484</v>
      </c>
      <c r="M189" s="7" t="s">
        <v>1264</v>
      </c>
      <c r="N189" s="127">
        <v>47757</v>
      </c>
      <c r="O189" t="s">
        <v>1079</v>
      </c>
      <c r="P189" s="6" t="s">
        <v>1264</v>
      </c>
      <c r="Q189" s="108">
        <v>47392</v>
      </c>
      <c r="R189" s="6" t="s">
        <v>1108</v>
      </c>
      <c r="S189" s="6" t="s">
        <v>1132</v>
      </c>
      <c r="U189" s="108">
        <v>46569</v>
      </c>
      <c r="V189" t="s">
        <v>1080</v>
      </c>
      <c r="W189" s="6" t="s">
        <v>1174</v>
      </c>
      <c r="X189" s="6"/>
    </row>
    <row r="190" spans="11:24" x14ac:dyDescent="0.2">
      <c r="K190" t="s">
        <v>184</v>
      </c>
      <c r="L190" s="69">
        <v>6158.33</v>
      </c>
      <c r="M190" s="69" t="s">
        <v>1058</v>
      </c>
      <c r="N190" s="108">
        <v>47757</v>
      </c>
      <c r="O190" t="s">
        <v>1080</v>
      </c>
      <c r="P190" s="6" t="s">
        <v>1268</v>
      </c>
      <c r="Q190" s="108">
        <v>47392</v>
      </c>
      <c r="R190" s="6" t="s">
        <v>132</v>
      </c>
      <c r="S190" s="6" t="s">
        <v>1132</v>
      </c>
      <c r="U190" s="108">
        <v>46569</v>
      </c>
      <c r="V190" t="s">
        <v>1101</v>
      </c>
      <c r="W190" s="6" t="s">
        <v>1175</v>
      </c>
      <c r="X190" s="6"/>
    </row>
    <row r="191" spans="11:24" x14ac:dyDescent="0.2">
      <c r="K191" t="s">
        <v>184</v>
      </c>
      <c r="L191" s="69">
        <v>6375</v>
      </c>
      <c r="M191" s="69" t="s">
        <v>1059</v>
      </c>
      <c r="N191" s="108">
        <v>47788</v>
      </c>
      <c r="O191" t="s">
        <v>1081</v>
      </c>
      <c r="P191" s="6" t="s">
        <v>1264</v>
      </c>
      <c r="Q191" s="108">
        <v>47423</v>
      </c>
      <c r="R191" s="6" t="s">
        <v>1117</v>
      </c>
      <c r="S191" s="6" t="s">
        <v>1132</v>
      </c>
      <c r="U191" s="108">
        <v>46569</v>
      </c>
      <c r="V191" t="s">
        <v>1070</v>
      </c>
      <c r="W191" s="6" t="s">
        <v>1176</v>
      </c>
      <c r="X191" s="6"/>
    </row>
    <row r="192" spans="11:24" x14ac:dyDescent="0.2">
      <c r="K192" t="s">
        <v>184</v>
      </c>
      <c r="L192" s="69">
        <f>L191*1.035</f>
        <v>6598.1249999999991</v>
      </c>
      <c r="M192" s="69" t="s">
        <v>1060</v>
      </c>
      <c r="N192" s="108">
        <v>47788</v>
      </c>
      <c r="O192" t="s">
        <v>1082</v>
      </c>
      <c r="P192" s="6" t="s">
        <v>1268</v>
      </c>
      <c r="Q192" s="108">
        <v>47423</v>
      </c>
      <c r="R192" s="6" t="s">
        <v>142</v>
      </c>
      <c r="S192" s="6" t="s">
        <v>1264</v>
      </c>
      <c r="U192" s="108">
        <v>46600</v>
      </c>
      <c r="V192" t="s">
        <v>1106</v>
      </c>
      <c r="W192" s="6" t="s">
        <v>1174</v>
      </c>
      <c r="X192" s="6"/>
    </row>
    <row r="193" spans="11:24" x14ac:dyDescent="0.2">
      <c r="K193" t="s">
        <v>184</v>
      </c>
      <c r="L193" s="69">
        <f>L192*1.035</f>
        <v>6829.0593749999989</v>
      </c>
      <c r="M193" s="69" t="s">
        <v>1061</v>
      </c>
      <c r="N193" s="108">
        <v>47818</v>
      </c>
      <c r="O193" t="s">
        <v>1083</v>
      </c>
      <c r="P193" s="6" t="s">
        <v>1264</v>
      </c>
      <c r="Q193" s="108">
        <v>47453</v>
      </c>
      <c r="R193" s="6" t="s">
        <v>1118</v>
      </c>
      <c r="S193" s="6" t="s">
        <v>1132</v>
      </c>
      <c r="U193" s="108">
        <v>46600</v>
      </c>
      <c r="V193" t="s">
        <v>1101</v>
      </c>
      <c r="W193" s="6" t="s">
        <v>1175</v>
      </c>
      <c r="X193" s="6"/>
    </row>
    <row r="194" spans="11:24" x14ac:dyDescent="0.2">
      <c r="K194" t="s">
        <v>184</v>
      </c>
      <c r="L194" s="69">
        <f>L193*1.04</f>
        <v>7102.2217499999988</v>
      </c>
      <c r="M194" s="69" t="s">
        <v>1062</v>
      </c>
      <c r="N194" s="108">
        <v>47818</v>
      </c>
      <c r="O194" t="s">
        <v>1084</v>
      </c>
      <c r="P194" s="6" t="s">
        <v>1268</v>
      </c>
      <c r="Q194" s="108">
        <v>47453</v>
      </c>
      <c r="R194" s="6" t="s">
        <v>143</v>
      </c>
      <c r="S194" s="6" t="s">
        <v>1264</v>
      </c>
      <c r="U194" s="108">
        <v>46600</v>
      </c>
      <c r="V194" t="s">
        <v>1164</v>
      </c>
      <c r="W194" s="6" t="s">
        <v>1176</v>
      </c>
      <c r="X194" s="6"/>
    </row>
    <row r="195" spans="11:24" x14ac:dyDescent="0.2">
      <c r="K195" t="s">
        <v>184</v>
      </c>
      <c r="L195" s="69">
        <f t="shared" ref="L195:L197" si="5">L194*1.04</f>
        <v>7386.3106199999993</v>
      </c>
      <c r="M195" s="69" t="s">
        <v>1115</v>
      </c>
      <c r="N195" s="108">
        <v>47849</v>
      </c>
      <c r="O195" t="s">
        <v>1064</v>
      </c>
      <c r="P195" s="6" t="s">
        <v>1264</v>
      </c>
      <c r="Q195" s="108">
        <v>47484</v>
      </c>
      <c r="R195" s="6" t="s">
        <v>1095</v>
      </c>
      <c r="S195" s="6" t="s">
        <v>1132</v>
      </c>
      <c r="U195" s="108">
        <v>46631</v>
      </c>
      <c r="V195" t="s">
        <v>12</v>
      </c>
      <c r="W195" s="6" t="s">
        <v>1174</v>
      </c>
      <c r="X195" s="6"/>
    </row>
    <row r="196" spans="11:24" x14ac:dyDescent="0.2">
      <c r="K196" t="s">
        <v>184</v>
      </c>
      <c r="L196" s="69">
        <f t="shared" si="5"/>
        <v>7681.7630447999991</v>
      </c>
      <c r="M196" s="69" t="s">
        <v>1132</v>
      </c>
      <c r="N196" s="108">
        <v>47849</v>
      </c>
      <c r="O196" t="s">
        <v>1065</v>
      </c>
      <c r="P196" s="6" t="s">
        <v>1268</v>
      </c>
      <c r="Q196" s="108">
        <v>47484</v>
      </c>
      <c r="R196" s="6" t="s">
        <v>14</v>
      </c>
      <c r="S196" s="6" t="s">
        <v>1264</v>
      </c>
      <c r="U196" s="108">
        <v>46631</v>
      </c>
      <c r="V196" t="s">
        <v>1101</v>
      </c>
      <c r="W196" s="6" t="s">
        <v>1175</v>
      </c>
      <c r="X196" s="6"/>
    </row>
    <row r="197" spans="11:24" x14ac:dyDescent="0.2">
      <c r="K197" t="s">
        <v>184</v>
      </c>
      <c r="L197" s="69">
        <f t="shared" si="5"/>
        <v>7989.0335665919993</v>
      </c>
      <c r="M197" s="7" t="s">
        <v>1264</v>
      </c>
      <c r="N197" s="108">
        <v>47880</v>
      </c>
      <c r="O197" t="s">
        <v>1066</v>
      </c>
      <c r="P197" s="6" t="s">
        <v>1264</v>
      </c>
      <c r="Q197" s="108">
        <v>47515</v>
      </c>
      <c r="R197" s="6" t="s">
        <v>1096</v>
      </c>
      <c r="S197" s="6" t="s">
        <v>1132</v>
      </c>
      <c r="U197" s="108">
        <v>46631</v>
      </c>
      <c r="V197" t="s">
        <v>1165</v>
      </c>
      <c r="W197" s="6" t="s">
        <v>1176</v>
      </c>
      <c r="X197" s="6"/>
    </row>
    <row r="198" spans="11:24" x14ac:dyDescent="0.2">
      <c r="K198" t="s">
        <v>185</v>
      </c>
      <c r="L198" s="69">
        <v>6491.67</v>
      </c>
      <c r="M198" s="69" t="s">
        <v>1058</v>
      </c>
      <c r="N198" s="108">
        <v>47880</v>
      </c>
      <c r="O198" t="s">
        <v>1067</v>
      </c>
      <c r="P198" s="6" t="s">
        <v>1268</v>
      </c>
      <c r="Q198" s="108">
        <v>47515</v>
      </c>
      <c r="R198" s="6" t="s">
        <v>1097</v>
      </c>
      <c r="S198" s="6" t="s">
        <v>1264</v>
      </c>
      <c r="U198" s="108">
        <v>46661</v>
      </c>
      <c r="V198" t="s">
        <v>1101</v>
      </c>
      <c r="W198" s="6" t="s">
        <v>1175</v>
      </c>
      <c r="X198" s="6"/>
    </row>
    <row r="199" spans="11:24" x14ac:dyDescent="0.2">
      <c r="K199" t="s">
        <v>185</v>
      </c>
      <c r="L199" s="69">
        <v>6725</v>
      </c>
      <c r="M199" s="69" t="s">
        <v>1059</v>
      </c>
      <c r="N199" s="108">
        <v>47908</v>
      </c>
      <c r="O199" t="s">
        <v>1068</v>
      </c>
      <c r="P199" s="6" t="s">
        <v>1264</v>
      </c>
      <c r="Q199" s="108">
        <v>47543</v>
      </c>
      <c r="R199" s="6" t="s">
        <v>1098</v>
      </c>
      <c r="S199" s="6" t="s">
        <v>1132</v>
      </c>
      <c r="U199" s="108">
        <v>46661</v>
      </c>
      <c r="V199" t="s">
        <v>1100</v>
      </c>
      <c r="W199" s="6" t="s">
        <v>1176</v>
      </c>
      <c r="X199" s="6"/>
    </row>
    <row r="200" spans="11:24" x14ac:dyDescent="0.2">
      <c r="K200" t="s">
        <v>185</v>
      </c>
      <c r="L200" s="69">
        <f>L199*1.035</f>
        <v>6960.3749999999991</v>
      </c>
      <c r="M200" s="69" t="s">
        <v>1060</v>
      </c>
      <c r="N200" s="108">
        <v>47908</v>
      </c>
      <c r="O200" t="s">
        <v>1069</v>
      </c>
      <c r="P200" s="6" t="s">
        <v>1268</v>
      </c>
      <c r="Q200" s="108">
        <v>47543</v>
      </c>
      <c r="R200" s="6" t="s">
        <v>1099</v>
      </c>
      <c r="S200" s="6" t="s">
        <v>1264</v>
      </c>
      <c r="U200" s="108">
        <v>46661</v>
      </c>
      <c r="V200" t="s">
        <v>132</v>
      </c>
      <c r="W200" s="6" t="s">
        <v>1176</v>
      </c>
      <c r="X200" s="6"/>
    </row>
    <row r="201" spans="11:24" x14ac:dyDescent="0.2">
      <c r="K201" t="s">
        <v>185</v>
      </c>
      <c r="L201" s="69">
        <f>L200*1.035</f>
        <v>7203.9881249999989</v>
      </c>
      <c r="M201" s="69" t="s">
        <v>1061</v>
      </c>
      <c r="N201" s="108">
        <v>47939</v>
      </c>
      <c r="O201" t="s">
        <v>1070</v>
      </c>
      <c r="P201" s="6" t="s">
        <v>1264</v>
      </c>
      <c r="Q201" s="108">
        <v>47574</v>
      </c>
      <c r="R201" s="6" t="s">
        <v>1100</v>
      </c>
      <c r="S201" s="6" t="s">
        <v>1132</v>
      </c>
      <c r="U201" s="108">
        <v>46692</v>
      </c>
      <c r="V201" t="s">
        <v>1162</v>
      </c>
      <c r="W201" s="6" t="s">
        <v>1175</v>
      </c>
      <c r="X201" s="6"/>
    </row>
    <row r="202" spans="11:24" x14ac:dyDescent="0.2">
      <c r="K202" t="s">
        <v>185</v>
      </c>
      <c r="L202" s="69">
        <f>L201*1.04</f>
        <v>7492.147649999999</v>
      </c>
      <c r="M202" s="69" t="s">
        <v>1062</v>
      </c>
      <c r="N202" s="108">
        <v>47939</v>
      </c>
      <c r="O202" t="s">
        <v>1071</v>
      </c>
      <c r="P202" s="6" t="s">
        <v>1268</v>
      </c>
      <c r="Q202" s="108">
        <v>47574</v>
      </c>
      <c r="R202" s="6" t="s">
        <v>1101</v>
      </c>
      <c r="S202" s="6" t="s">
        <v>1264</v>
      </c>
      <c r="U202" s="108">
        <v>46692</v>
      </c>
      <c r="V202" t="s">
        <v>1100</v>
      </c>
      <c r="W202" s="6" t="s">
        <v>1176</v>
      </c>
      <c r="X202" s="6"/>
    </row>
    <row r="203" spans="11:24" x14ac:dyDescent="0.2">
      <c r="K203" t="s">
        <v>185</v>
      </c>
      <c r="L203" s="69">
        <f t="shared" ref="L203:L205" si="6">L202*1.04</f>
        <v>7791.8335559999996</v>
      </c>
      <c r="M203" s="69" t="s">
        <v>1115</v>
      </c>
      <c r="N203" s="108">
        <v>47969</v>
      </c>
      <c r="O203" t="s">
        <v>1072</v>
      </c>
      <c r="P203" s="6" t="s">
        <v>1264</v>
      </c>
      <c r="Q203" s="108">
        <v>47604</v>
      </c>
      <c r="R203" s="6" t="s">
        <v>1102</v>
      </c>
      <c r="S203" s="6" t="s">
        <v>1132</v>
      </c>
      <c r="U203" s="108">
        <v>46692</v>
      </c>
      <c r="V203" t="s">
        <v>142</v>
      </c>
      <c r="W203" s="6" t="s">
        <v>1177</v>
      </c>
      <c r="X203" s="6"/>
    </row>
    <row r="204" spans="11:24" x14ac:dyDescent="0.2">
      <c r="K204" t="s">
        <v>185</v>
      </c>
      <c r="L204" s="69">
        <f t="shared" si="6"/>
        <v>8103.5068982399998</v>
      </c>
      <c r="M204" s="69" t="s">
        <v>1132</v>
      </c>
      <c r="N204" s="108">
        <v>47969</v>
      </c>
      <c r="O204" t="s">
        <v>1073</v>
      </c>
      <c r="P204" s="6" t="s">
        <v>1268</v>
      </c>
      <c r="Q204" s="108">
        <v>47604</v>
      </c>
      <c r="R204" s="6" t="s">
        <v>1103</v>
      </c>
      <c r="S204" s="6" t="s">
        <v>1264</v>
      </c>
      <c r="U204" s="108">
        <v>46722</v>
      </c>
      <c r="V204" t="s">
        <v>1163</v>
      </c>
      <c r="W204" s="6" t="s">
        <v>1175</v>
      </c>
      <c r="X204" s="6"/>
    </row>
    <row r="205" spans="11:24" x14ac:dyDescent="0.2">
      <c r="K205" t="s">
        <v>185</v>
      </c>
      <c r="L205" s="69">
        <f t="shared" si="6"/>
        <v>8427.6471741696005</v>
      </c>
      <c r="M205" s="7" t="s">
        <v>1264</v>
      </c>
      <c r="N205" s="108">
        <v>48000</v>
      </c>
      <c r="O205" t="s">
        <v>204</v>
      </c>
      <c r="P205" s="6" t="s">
        <v>1264</v>
      </c>
      <c r="Q205" s="108">
        <v>47635</v>
      </c>
      <c r="R205" s="6" t="s">
        <v>1104</v>
      </c>
      <c r="S205" s="6" t="s">
        <v>1132</v>
      </c>
      <c r="U205" s="108">
        <v>46722</v>
      </c>
      <c r="V205" t="s">
        <v>1100</v>
      </c>
      <c r="W205" s="6" t="s">
        <v>1176</v>
      </c>
      <c r="X205" s="6"/>
    </row>
    <row r="206" spans="11:24" x14ac:dyDescent="0.2">
      <c r="K206" t="s">
        <v>186</v>
      </c>
      <c r="L206" s="69">
        <v>6841.67</v>
      </c>
      <c r="M206" s="69" t="s">
        <v>1058</v>
      </c>
      <c r="N206" s="108">
        <v>48000</v>
      </c>
      <c r="O206" s="6" t="s">
        <v>1074</v>
      </c>
      <c r="P206" s="6" t="s">
        <v>1268</v>
      </c>
      <c r="Q206" s="108">
        <v>47635</v>
      </c>
      <c r="R206" s="6" t="s">
        <v>1105</v>
      </c>
      <c r="S206" s="6" t="s">
        <v>1264</v>
      </c>
      <c r="U206" s="108">
        <v>46722</v>
      </c>
      <c r="V206" t="s">
        <v>143</v>
      </c>
      <c r="W206" s="6" t="s">
        <v>1177</v>
      </c>
      <c r="X206" s="6"/>
    </row>
    <row r="207" spans="11:24" x14ac:dyDescent="0.2">
      <c r="K207" t="s">
        <v>186</v>
      </c>
      <c r="L207" s="69">
        <v>7083.33</v>
      </c>
      <c r="M207" s="69" t="s">
        <v>1059</v>
      </c>
      <c r="N207" s="69"/>
      <c r="O207" s="69"/>
      <c r="P207" s="69"/>
      <c r="Q207" s="108">
        <v>47665</v>
      </c>
      <c r="R207" s="6" t="s">
        <v>1080</v>
      </c>
      <c r="S207" s="6" t="s">
        <v>1132</v>
      </c>
      <c r="U207" s="108">
        <v>46753</v>
      </c>
      <c r="V207" t="s">
        <v>150</v>
      </c>
      <c r="W207" s="6" t="s">
        <v>1175</v>
      </c>
      <c r="X207" s="6"/>
    </row>
    <row r="208" spans="11:24" x14ac:dyDescent="0.2">
      <c r="K208" t="s">
        <v>186</v>
      </c>
      <c r="L208" s="69">
        <f>L207*1.035</f>
        <v>7331.2465499999989</v>
      </c>
      <c r="M208" s="69" t="s">
        <v>1060</v>
      </c>
      <c r="N208" s="69"/>
      <c r="O208" s="69"/>
      <c r="P208" s="69"/>
      <c r="Q208" s="108">
        <v>47665</v>
      </c>
      <c r="R208" s="6" t="s">
        <v>1079</v>
      </c>
      <c r="S208" s="6" t="s">
        <v>1264</v>
      </c>
      <c r="U208" s="108">
        <v>46753</v>
      </c>
      <c r="V208" t="s">
        <v>1100</v>
      </c>
      <c r="W208" s="6" t="s">
        <v>1176</v>
      </c>
      <c r="X208" s="6"/>
    </row>
    <row r="209" spans="11:24" x14ac:dyDescent="0.2">
      <c r="K209" t="s">
        <v>186</v>
      </c>
      <c r="L209" s="69">
        <f>L208*1.035</f>
        <v>7587.8401792499981</v>
      </c>
      <c r="M209" s="69" t="s">
        <v>1061</v>
      </c>
      <c r="N209" s="69"/>
      <c r="O209" s="69"/>
      <c r="P209" s="69"/>
      <c r="Q209" s="108">
        <v>47696</v>
      </c>
      <c r="R209" s="6" t="s">
        <v>1106</v>
      </c>
      <c r="S209" s="6" t="s">
        <v>1132</v>
      </c>
      <c r="U209" s="108">
        <v>46753</v>
      </c>
      <c r="V209" t="s">
        <v>14</v>
      </c>
      <c r="W209" s="6" t="s">
        <v>1175</v>
      </c>
      <c r="X209" s="6"/>
    </row>
    <row r="210" spans="11:24" x14ac:dyDescent="0.2">
      <c r="K210" t="s">
        <v>186</v>
      </c>
      <c r="L210" s="69">
        <f>L209*1.04</f>
        <v>7891.353786419998</v>
      </c>
      <c r="M210" s="69" t="s">
        <v>1062</v>
      </c>
      <c r="N210" s="69"/>
      <c r="O210" s="69"/>
      <c r="P210" s="69"/>
      <c r="Q210" s="108">
        <v>47696</v>
      </c>
      <c r="R210" s="6" t="s">
        <v>1107</v>
      </c>
      <c r="S210" s="6" t="s">
        <v>1264</v>
      </c>
      <c r="U210" s="108">
        <v>46784</v>
      </c>
      <c r="V210" t="s">
        <v>1161</v>
      </c>
      <c r="W210" s="6" t="s">
        <v>1175</v>
      </c>
      <c r="X210" s="6"/>
    </row>
    <row r="211" spans="11:24" x14ac:dyDescent="0.2">
      <c r="K211" t="s">
        <v>186</v>
      </c>
      <c r="L211" s="69">
        <f t="shared" ref="L211:L213" si="7">L210*1.04</f>
        <v>8207.0079378767987</v>
      </c>
      <c r="M211" s="69" t="s">
        <v>1115</v>
      </c>
      <c r="N211" s="69"/>
      <c r="O211" s="69"/>
      <c r="P211" s="69"/>
      <c r="Q211" s="108">
        <v>47727</v>
      </c>
      <c r="R211" s="6" t="s">
        <v>12</v>
      </c>
      <c r="S211" s="6" t="s">
        <v>1132</v>
      </c>
      <c r="U211" s="108">
        <v>46784</v>
      </c>
      <c r="V211" t="s">
        <v>1100</v>
      </c>
      <c r="W211" s="6" t="s">
        <v>1176</v>
      </c>
      <c r="X211" s="6"/>
    </row>
    <row r="212" spans="11:24" x14ac:dyDescent="0.2">
      <c r="K212" t="s">
        <v>186</v>
      </c>
      <c r="L212" s="69">
        <f t="shared" si="7"/>
        <v>8535.2882553918716</v>
      </c>
      <c r="M212" s="69" t="s">
        <v>1132</v>
      </c>
      <c r="N212" s="69"/>
      <c r="O212" s="69"/>
      <c r="P212" s="69"/>
      <c r="Q212" s="108">
        <v>47727</v>
      </c>
      <c r="R212" s="6" t="s">
        <v>1109</v>
      </c>
      <c r="S212" s="6" t="s">
        <v>1264</v>
      </c>
      <c r="U212" s="108">
        <v>46784</v>
      </c>
      <c r="V212" t="s">
        <v>1097</v>
      </c>
      <c r="W212" s="6" t="s">
        <v>1177</v>
      </c>
      <c r="X212" s="6"/>
    </row>
    <row r="213" spans="11:24" x14ac:dyDescent="0.2">
      <c r="K213" t="s">
        <v>186</v>
      </c>
      <c r="L213" s="69">
        <f t="shared" si="7"/>
        <v>8876.6997856075468</v>
      </c>
      <c r="M213" s="7" t="s">
        <v>1264</v>
      </c>
      <c r="N213" s="69"/>
      <c r="O213" s="69"/>
      <c r="P213" s="69"/>
      <c r="Q213" s="108">
        <v>47757</v>
      </c>
      <c r="R213" s="6" t="s">
        <v>1108</v>
      </c>
      <c r="S213" s="6" t="s">
        <v>1264</v>
      </c>
      <c r="U213" s="108">
        <v>46813</v>
      </c>
      <c r="V213" t="s">
        <v>1148</v>
      </c>
      <c r="W213" s="6" t="s">
        <v>1175</v>
      </c>
      <c r="X213" s="6"/>
    </row>
    <row r="214" spans="11:24" x14ac:dyDescent="0.2">
      <c r="K214" t="s">
        <v>187</v>
      </c>
      <c r="L214" s="69">
        <v>7241.67</v>
      </c>
      <c r="M214" s="69" t="s">
        <v>1058</v>
      </c>
      <c r="Q214" s="108">
        <v>47757</v>
      </c>
      <c r="R214" s="6" t="s">
        <v>132</v>
      </c>
      <c r="S214" s="6" t="s">
        <v>1264</v>
      </c>
      <c r="U214" s="108">
        <v>46813</v>
      </c>
      <c r="V214" t="s">
        <v>1100</v>
      </c>
      <c r="W214" s="6" t="s">
        <v>1176</v>
      </c>
      <c r="X214" s="6"/>
    </row>
    <row r="215" spans="11:24" x14ac:dyDescent="0.2">
      <c r="K215" t="s">
        <v>187</v>
      </c>
      <c r="L215" s="69">
        <v>7500</v>
      </c>
      <c r="M215" s="69" t="s">
        <v>1059</v>
      </c>
      <c r="N215" s="69"/>
      <c r="O215" s="69"/>
      <c r="P215" s="69"/>
      <c r="Q215" s="108">
        <v>47788</v>
      </c>
      <c r="R215" s="6" t="s">
        <v>1117</v>
      </c>
      <c r="S215" s="6" t="s">
        <v>1264</v>
      </c>
      <c r="U215" s="108">
        <v>46813</v>
      </c>
      <c r="V215" t="s">
        <v>1099</v>
      </c>
      <c r="W215" s="6" t="s">
        <v>1177</v>
      </c>
      <c r="X215" s="6"/>
    </row>
    <row r="216" spans="11:24" x14ac:dyDescent="0.2">
      <c r="K216" t="s">
        <v>187</v>
      </c>
      <c r="L216" s="69">
        <f>L215*1.035</f>
        <v>7762.4999999999991</v>
      </c>
      <c r="M216" s="69" t="s">
        <v>1060</v>
      </c>
      <c r="N216" s="69"/>
      <c r="O216" s="69"/>
      <c r="P216" s="69"/>
      <c r="Q216" s="108">
        <v>47788</v>
      </c>
      <c r="R216" s="6" t="s">
        <v>142</v>
      </c>
      <c r="S216" s="6" t="s">
        <v>1268</v>
      </c>
      <c r="U216" s="108">
        <v>46844</v>
      </c>
      <c r="V216" t="s">
        <v>1100</v>
      </c>
      <c r="W216" s="6" t="s">
        <v>1176</v>
      </c>
      <c r="X216" s="6"/>
    </row>
    <row r="217" spans="11:24" x14ac:dyDescent="0.2">
      <c r="K217" t="s">
        <v>187</v>
      </c>
      <c r="L217" s="69">
        <f>L216*1.035</f>
        <v>8034.1874999999982</v>
      </c>
      <c r="M217" s="69" t="s">
        <v>1061</v>
      </c>
      <c r="N217" s="69"/>
      <c r="O217" s="69"/>
      <c r="P217" s="69"/>
      <c r="Q217" s="108">
        <v>47818</v>
      </c>
      <c r="R217" s="6" t="s">
        <v>1118</v>
      </c>
      <c r="S217" s="6" t="s">
        <v>1264</v>
      </c>
      <c r="U217" s="108">
        <v>46844</v>
      </c>
      <c r="V217" t="s">
        <v>132</v>
      </c>
      <c r="W217" s="6" t="s">
        <v>1176</v>
      </c>
      <c r="X217" s="6"/>
    </row>
    <row r="218" spans="11:24" x14ac:dyDescent="0.2">
      <c r="K218" t="s">
        <v>187</v>
      </c>
      <c r="L218" s="69">
        <f>L217*1.04</f>
        <v>8355.5549999999985</v>
      </c>
      <c r="M218" s="69" t="s">
        <v>1062</v>
      </c>
      <c r="N218" s="69"/>
      <c r="O218" s="69"/>
      <c r="P218" s="69"/>
      <c r="Q218" s="108">
        <v>47818</v>
      </c>
      <c r="R218" s="6" t="s">
        <v>143</v>
      </c>
      <c r="S218" s="6" t="s">
        <v>1268</v>
      </c>
      <c r="U218" s="108">
        <v>46844</v>
      </c>
      <c r="V218" t="s">
        <v>1101</v>
      </c>
      <c r="W218" s="6" t="s">
        <v>1177</v>
      </c>
      <c r="X218" s="6"/>
    </row>
    <row r="219" spans="11:24" x14ac:dyDescent="0.2">
      <c r="K219" t="s">
        <v>187</v>
      </c>
      <c r="L219" s="69">
        <f t="shared" ref="L219:L221" si="8">L218*1.04</f>
        <v>8689.7771999999986</v>
      </c>
      <c r="M219" s="69" t="s">
        <v>1115</v>
      </c>
      <c r="N219" s="69"/>
      <c r="O219" s="69"/>
      <c r="P219" s="69"/>
      <c r="Q219" s="108">
        <v>47849</v>
      </c>
      <c r="R219" s="6" t="s">
        <v>1095</v>
      </c>
      <c r="S219" s="6" t="s">
        <v>1264</v>
      </c>
      <c r="U219" s="108">
        <v>46874</v>
      </c>
      <c r="V219" t="s">
        <v>1102</v>
      </c>
      <c r="W219" s="6" t="s">
        <v>1176</v>
      </c>
      <c r="X219" s="6"/>
    </row>
    <row r="220" spans="11:24" x14ac:dyDescent="0.2">
      <c r="K220" t="s">
        <v>187</v>
      </c>
      <c r="L220" s="69">
        <f t="shared" si="8"/>
        <v>9037.3682879999997</v>
      </c>
      <c r="M220" s="69" t="s">
        <v>1132</v>
      </c>
      <c r="N220" s="69"/>
      <c r="O220" s="69"/>
      <c r="P220" s="69"/>
      <c r="Q220" s="108">
        <v>47849</v>
      </c>
      <c r="R220" s="6" t="s">
        <v>14</v>
      </c>
      <c r="S220" s="6" t="s">
        <v>1268</v>
      </c>
      <c r="U220" s="108">
        <v>46874</v>
      </c>
      <c r="V220" t="s">
        <v>1101</v>
      </c>
      <c r="W220" s="6" t="s">
        <v>1177</v>
      </c>
      <c r="X220" s="6"/>
    </row>
    <row r="221" spans="11:24" x14ac:dyDescent="0.2">
      <c r="K221" t="s">
        <v>187</v>
      </c>
      <c r="L221" s="69">
        <f t="shared" si="8"/>
        <v>9398.8630195200003</v>
      </c>
      <c r="M221" s="7" t="s">
        <v>1264</v>
      </c>
      <c r="N221" s="69"/>
      <c r="O221" s="69"/>
      <c r="P221" s="69"/>
      <c r="Q221" s="108">
        <v>47880</v>
      </c>
      <c r="R221" s="6" t="s">
        <v>1096</v>
      </c>
      <c r="S221" s="6" t="s">
        <v>1264</v>
      </c>
      <c r="U221" s="108">
        <v>46874</v>
      </c>
      <c r="V221" t="s">
        <v>1145</v>
      </c>
      <c r="W221" s="6" t="s">
        <v>1178</v>
      </c>
      <c r="X221" s="6"/>
    </row>
    <row r="222" spans="11:24" x14ac:dyDescent="0.2">
      <c r="K222" t="s">
        <v>188</v>
      </c>
      <c r="L222" s="69">
        <v>7958.33</v>
      </c>
      <c r="M222" s="69" t="s">
        <v>1058</v>
      </c>
      <c r="Q222" s="108">
        <v>47880</v>
      </c>
      <c r="R222" s="6" t="s">
        <v>1097</v>
      </c>
      <c r="S222" s="6" t="s">
        <v>1268</v>
      </c>
      <c r="U222" s="108">
        <v>46905</v>
      </c>
      <c r="V222" t="s">
        <v>1104</v>
      </c>
      <c r="W222" s="6" t="s">
        <v>1176</v>
      </c>
      <c r="X222" s="6"/>
    </row>
    <row r="223" spans="11:24" x14ac:dyDescent="0.2">
      <c r="K223" t="s">
        <v>188</v>
      </c>
      <c r="L223" s="69">
        <v>8241.67</v>
      </c>
      <c r="M223" s="69" t="s">
        <v>1059</v>
      </c>
      <c r="N223" s="69"/>
      <c r="O223" s="69"/>
      <c r="P223" s="69"/>
      <c r="Q223" s="108">
        <v>47908</v>
      </c>
      <c r="R223" s="6" t="s">
        <v>1098</v>
      </c>
      <c r="S223" s="6" t="s">
        <v>1264</v>
      </c>
      <c r="U223" s="108">
        <v>46905</v>
      </c>
      <c r="V223" t="s">
        <v>1101</v>
      </c>
      <c r="W223" s="6" t="s">
        <v>1177</v>
      </c>
      <c r="X223" s="6"/>
    </row>
    <row r="224" spans="11:24" x14ac:dyDescent="0.2">
      <c r="K224" t="s">
        <v>188</v>
      </c>
      <c r="L224" s="69">
        <f>L223*1.035</f>
        <v>8530.1284500000002</v>
      </c>
      <c r="M224" s="69" t="s">
        <v>1060</v>
      </c>
      <c r="N224" s="69"/>
      <c r="O224" s="69"/>
      <c r="P224" s="69"/>
      <c r="Q224" s="108">
        <v>47908</v>
      </c>
      <c r="R224" s="6" t="s">
        <v>1099</v>
      </c>
      <c r="S224" s="6" t="s">
        <v>1268</v>
      </c>
      <c r="U224" s="108">
        <v>46905</v>
      </c>
      <c r="V224" t="s">
        <v>149</v>
      </c>
      <c r="W224" s="6" t="s">
        <v>1178</v>
      </c>
      <c r="X224" s="6"/>
    </row>
    <row r="225" spans="11:24" x14ac:dyDescent="0.2">
      <c r="K225" t="s">
        <v>188</v>
      </c>
      <c r="L225" s="69">
        <f>L224*1.035</f>
        <v>8828.6829457499989</v>
      </c>
      <c r="M225" s="69" t="s">
        <v>1061</v>
      </c>
      <c r="N225" s="69"/>
      <c r="O225" s="69"/>
      <c r="P225" s="69"/>
      <c r="Q225" s="108">
        <v>47939</v>
      </c>
      <c r="R225" s="6" t="s">
        <v>1100</v>
      </c>
      <c r="S225" s="6" t="s">
        <v>1264</v>
      </c>
      <c r="U225" s="108">
        <v>46935</v>
      </c>
      <c r="V225" t="s">
        <v>1080</v>
      </c>
      <c r="W225" s="6" t="s">
        <v>1176</v>
      </c>
      <c r="X225" s="6"/>
    </row>
    <row r="226" spans="11:24" x14ac:dyDescent="0.2">
      <c r="K226" t="s">
        <v>188</v>
      </c>
      <c r="L226" s="69">
        <f>L225*1.04</f>
        <v>9181.8302635799992</v>
      </c>
      <c r="M226" s="69" t="s">
        <v>1062</v>
      </c>
      <c r="N226" s="69"/>
      <c r="O226" s="69"/>
      <c r="P226" s="69"/>
      <c r="Q226" s="108">
        <v>47939</v>
      </c>
      <c r="R226" s="6" t="s">
        <v>1101</v>
      </c>
      <c r="S226" s="6" t="s">
        <v>1268</v>
      </c>
      <c r="U226" s="108">
        <v>46935</v>
      </c>
      <c r="V226" t="s">
        <v>1101</v>
      </c>
      <c r="W226" s="6" t="s">
        <v>1177</v>
      </c>
      <c r="X226" s="6"/>
    </row>
    <row r="227" spans="11:24" x14ac:dyDescent="0.2">
      <c r="K227" t="s">
        <v>188</v>
      </c>
      <c r="L227" s="69">
        <f t="shared" ref="L227:L229" si="9">L226*1.04</f>
        <v>9549.1034741231997</v>
      </c>
      <c r="M227" s="69" t="s">
        <v>1115</v>
      </c>
      <c r="N227" s="69"/>
      <c r="O227" s="69"/>
      <c r="P227" s="69"/>
      <c r="Q227" s="108">
        <v>47969</v>
      </c>
      <c r="R227" s="6" t="s">
        <v>1102</v>
      </c>
      <c r="S227" s="6" t="s">
        <v>1264</v>
      </c>
      <c r="U227" s="108">
        <v>46935</v>
      </c>
      <c r="V227" t="s">
        <v>1070</v>
      </c>
      <c r="W227" s="6" t="s">
        <v>1178</v>
      </c>
      <c r="X227" s="6"/>
    </row>
    <row r="228" spans="11:24" x14ac:dyDescent="0.2">
      <c r="K228" t="s">
        <v>188</v>
      </c>
      <c r="L228" s="69">
        <f t="shared" si="9"/>
        <v>9931.0676130881275</v>
      </c>
      <c r="M228" s="69" t="s">
        <v>1132</v>
      </c>
      <c r="N228" s="69"/>
      <c r="O228" s="69"/>
      <c r="P228" s="69"/>
      <c r="Q228" s="108">
        <v>47969</v>
      </c>
      <c r="R228" s="6" t="s">
        <v>1103</v>
      </c>
      <c r="S228" s="6" t="s">
        <v>1268</v>
      </c>
      <c r="U228" s="108">
        <v>46966</v>
      </c>
      <c r="V228" t="s">
        <v>1106</v>
      </c>
      <c r="W228" s="6" t="s">
        <v>1176</v>
      </c>
      <c r="X228" s="6"/>
    </row>
    <row r="229" spans="11:24" x14ac:dyDescent="0.2">
      <c r="K229" t="s">
        <v>188</v>
      </c>
      <c r="L229" s="69">
        <f t="shared" si="9"/>
        <v>10328.310317611653</v>
      </c>
      <c r="M229" s="7" t="s">
        <v>1264</v>
      </c>
      <c r="N229" s="69"/>
      <c r="O229" s="69"/>
      <c r="P229" s="69"/>
      <c r="Q229" s="108">
        <v>48000</v>
      </c>
      <c r="R229" s="6" t="s">
        <v>1104</v>
      </c>
      <c r="S229" s="6" t="s">
        <v>1264</v>
      </c>
      <c r="U229" s="108">
        <v>46966</v>
      </c>
      <c r="V229" t="s">
        <v>1101</v>
      </c>
      <c r="W229" s="6" t="s">
        <v>1177</v>
      </c>
      <c r="X229" s="6"/>
    </row>
    <row r="230" spans="11:24" x14ac:dyDescent="0.2">
      <c r="K230" t="s">
        <v>189</v>
      </c>
      <c r="L230" s="69">
        <v>8875</v>
      </c>
      <c r="M230" s="69" t="s">
        <v>1058</v>
      </c>
      <c r="Q230" s="108">
        <v>48000</v>
      </c>
      <c r="R230" s="6" t="s">
        <v>1105</v>
      </c>
      <c r="S230" s="6" t="s">
        <v>1268</v>
      </c>
      <c r="U230" s="108">
        <v>46966</v>
      </c>
      <c r="V230" t="s">
        <v>1164</v>
      </c>
      <c r="W230" s="6" t="s">
        <v>1178</v>
      </c>
      <c r="X230" s="6"/>
    </row>
    <row r="231" spans="11:24" x14ac:dyDescent="0.2">
      <c r="K231" t="s">
        <v>189</v>
      </c>
      <c r="L231" s="69">
        <v>9191.67</v>
      </c>
      <c r="M231" s="69" t="s">
        <v>1059</v>
      </c>
      <c r="N231" s="69"/>
      <c r="O231" s="69"/>
      <c r="P231" s="69"/>
      <c r="Q231" s="69"/>
      <c r="U231" s="108">
        <v>46997</v>
      </c>
      <c r="V231" t="s">
        <v>12</v>
      </c>
      <c r="W231" s="6" t="s">
        <v>1176</v>
      </c>
      <c r="X231" s="6"/>
    </row>
    <row r="232" spans="11:24" x14ac:dyDescent="0.2">
      <c r="K232" t="s">
        <v>189</v>
      </c>
      <c r="L232" s="69">
        <f>L231*1.035</f>
        <v>9513.3784500000002</v>
      </c>
      <c r="M232" s="69" t="s">
        <v>1060</v>
      </c>
      <c r="N232" s="69"/>
      <c r="O232" s="69"/>
      <c r="P232" s="69"/>
      <c r="Q232" s="69"/>
      <c r="U232" s="108">
        <v>46997</v>
      </c>
      <c r="V232" t="s">
        <v>1101</v>
      </c>
      <c r="W232" s="6" t="s">
        <v>1177</v>
      </c>
      <c r="X232" s="6"/>
    </row>
    <row r="233" spans="11:24" x14ac:dyDescent="0.2">
      <c r="K233" t="s">
        <v>189</v>
      </c>
      <c r="L233" s="69">
        <f>L232*1.035</f>
        <v>9846.3466957499986</v>
      </c>
      <c r="M233" s="69" t="s">
        <v>1061</v>
      </c>
      <c r="N233" s="69"/>
      <c r="O233" s="69"/>
      <c r="P233" s="69"/>
      <c r="Q233" s="69"/>
      <c r="U233" s="108">
        <v>46997</v>
      </c>
      <c r="V233" t="s">
        <v>1165</v>
      </c>
      <c r="W233" s="6" t="s">
        <v>1178</v>
      </c>
      <c r="X233" s="6"/>
    </row>
    <row r="234" spans="11:24" x14ac:dyDescent="0.2">
      <c r="K234" t="s">
        <v>189</v>
      </c>
      <c r="L234" s="69">
        <f>L233*1.04</f>
        <v>10240.20056358</v>
      </c>
      <c r="M234" s="69" t="s">
        <v>1062</v>
      </c>
      <c r="N234" s="69"/>
      <c r="O234" s="69"/>
      <c r="P234" s="69"/>
      <c r="Q234" s="69"/>
      <c r="U234" s="108">
        <v>47027</v>
      </c>
      <c r="V234" t="s">
        <v>1101</v>
      </c>
      <c r="W234" s="6" t="s">
        <v>1177</v>
      </c>
      <c r="X234" s="6"/>
    </row>
    <row r="235" spans="11:24" x14ac:dyDescent="0.2">
      <c r="K235" t="s">
        <v>189</v>
      </c>
      <c r="L235" s="69">
        <f t="shared" ref="L235:L237" si="10">L234*1.04</f>
        <v>10649.808586123199</v>
      </c>
      <c r="M235" s="69" t="s">
        <v>1115</v>
      </c>
      <c r="N235" s="69"/>
      <c r="O235" s="69"/>
      <c r="P235" s="69"/>
      <c r="Q235" s="69"/>
      <c r="U235" s="108">
        <v>47027</v>
      </c>
      <c r="V235" t="s">
        <v>1100</v>
      </c>
      <c r="W235" s="6" t="s">
        <v>1178</v>
      </c>
      <c r="X235" s="6"/>
    </row>
    <row r="236" spans="11:24" x14ac:dyDescent="0.2">
      <c r="K236" t="s">
        <v>189</v>
      </c>
      <c r="L236" s="69">
        <f t="shared" si="10"/>
        <v>11075.800929568128</v>
      </c>
      <c r="M236" s="69" t="s">
        <v>1132</v>
      </c>
      <c r="N236" s="69"/>
      <c r="O236" s="69"/>
      <c r="P236" s="69"/>
      <c r="Q236" s="69"/>
      <c r="U236" s="108">
        <v>47027</v>
      </c>
      <c r="V236" t="s">
        <v>132</v>
      </c>
      <c r="W236" s="6" t="s">
        <v>1178</v>
      </c>
      <c r="X236" s="6"/>
    </row>
    <row r="237" spans="11:24" x14ac:dyDescent="0.2">
      <c r="K237" t="s">
        <v>189</v>
      </c>
      <c r="L237" s="69">
        <f t="shared" si="10"/>
        <v>11518.832966750853</v>
      </c>
      <c r="M237" s="7" t="s">
        <v>1264</v>
      </c>
      <c r="N237" s="69"/>
      <c r="O237" s="69"/>
      <c r="P237" s="69"/>
      <c r="Q237" s="69"/>
      <c r="U237" s="108">
        <v>47058</v>
      </c>
      <c r="V237" t="s">
        <v>1162</v>
      </c>
      <c r="W237" s="6" t="s">
        <v>1177</v>
      </c>
      <c r="X237" s="6"/>
    </row>
    <row r="238" spans="11:24" x14ac:dyDescent="0.2">
      <c r="K238" t="s">
        <v>190</v>
      </c>
      <c r="L238" s="69">
        <v>9983.33</v>
      </c>
      <c r="M238" s="69" t="s">
        <v>1058</v>
      </c>
      <c r="U238" s="108">
        <v>47058</v>
      </c>
      <c r="V238" t="s">
        <v>1100</v>
      </c>
      <c r="W238" s="6" t="s">
        <v>1178</v>
      </c>
      <c r="X238" s="6"/>
    </row>
    <row r="239" spans="11:24" x14ac:dyDescent="0.2">
      <c r="K239" t="s">
        <v>190</v>
      </c>
      <c r="L239" s="69">
        <v>10333.33</v>
      </c>
      <c r="M239" s="69" t="s">
        <v>1059</v>
      </c>
      <c r="N239" s="69"/>
      <c r="O239" s="69"/>
      <c r="P239" s="69"/>
      <c r="Q239" s="69"/>
      <c r="U239" s="108">
        <v>47058</v>
      </c>
      <c r="V239" t="s">
        <v>142</v>
      </c>
      <c r="W239" s="6" t="s">
        <v>1179</v>
      </c>
      <c r="X239" s="6"/>
    </row>
    <row r="240" spans="11:24" x14ac:dyDescent="0.2">
      <c r="K240" t="s">
        <v>190</v>
      </c>
      <c r="L240" s="69">
        <f>L239*1.035</f>
        <v>10694.99655</v>
      </c>
      <c r="M240" s="69" t="s">
        <v>1060</v>
      </c>
      <c r="N240" s="69"/>
      <c r="O240" s="69"/>
      <c r="P240" s="69"/>
      <c r="Q240" s="69"/>
      <c r="U240" s="108">
        <v>47088</v>
      </c>
      <c r="V240" t="s">
        <v>1163</v>
      </c>
      <c r="W240" s="6" t="s">
        <v>1177</v>
      </c>
      <c r="X240" s="6"/>
    </row>
    <row r="241" spans="11:24" x14ac:dyDescent="0.2">
      <c r="K241" t="s">
        <v>190</v>
      </c>
      <c r="L241" s="69">
        <f>L240*1.035</f>
        <v>11069.32142925</v>
      </c>
      <c r="M241" s="69" t="s">
        <v>1061</v>
      </c>
      <c r="N241" s="69"/>
      <c r="O241" s="69"/>
      <c r="P241" s="69"/>
      <c r="Q241" s="69"/>
      <c r="U241" s="108">
        <v>47088</v>
      </c>
      <c r="V241" t="s">
        <v>1100</v>
      </c>
      <c r="W241" s="6" t="s">
        <v>1178</v>
      </c>
      <c r="X241" s="6"/>
    </row>
    <row r="242" spans="11:24" x14ac:dyDescent="0.2">
      <c r="K242" t="s">
        <v>190</v>
      </c>
      <c r="L242" s="69">
        <f>L241*1.04</f>
        <v>11512.094286420001</v>
      </c>
      <c r="M242" s="69" t="s">
        <v>1062</v>
      </c>
      <c r="N242" s="69"/>
      <c r="O242" s="69"/>
      <c r="P242" s="69"/>
      <c r="Q242" s="69"/>
      <c r="U242" s="108">
        <v>47088</v>
      </c>
      <c r="V242" t="s">
        <v>143</v>
      </c>
      <c r="W242" s="6" t="s">
        <v>1179</v>
      </c>
      <c r="X242" s="6"/>
    </row>
    <row r="243" spans="11:24" x14ac:dyDescent="0.2">
      <c r="K243" t="s">
        <v>190</v>
      </c>
      <c r="L243" s="69">
        <f t="shared" ref="L243:L245" si="11">L242*1.04</f>
        <v>11972.578057876801</v>
      </c>
      <c r="M243" s="69" t="s">
        <v>1115</v>
      </c>
      <c r="N243" s="69"/>
      <c r="O243" s="69"/>
      <c r="P243" s="69"/>
      <c r="Q243" s="69"/>
      <c r="U243" s="108">
        <v>47119</v>
      </c>
      <c r="V243" t="s">
        <v>150</v>
      </c>
      <c r="W243" s="6" t="s">
        <v>1177</v>
      </c>
    </row>
    <row r="244" spans="11:24" x14ac:dyDescent="0.2">
      <c r="K244" t="s">
        <v>190</v>
      </c>
      <c r="L244" s="69">
        <f t="shared" si="11"/>
        <v>12451.481180191873</v>
      </c>
      <c r="M244" s="69" t="s">
        <v>1132</v>
      </c>
      <c r="N244" s="69"/>
      <c r="O244" s="69"/>
      <c r="P244" s="69"/>
      <c r="Q244" s="69"/>
      <c r="U244" s="108">
        <v>47119</v>
      </c>
      <c r="V244" t="s">
        <v>1100</v>
      </c>
      <c r="W244" s="6" t="s">
        <v>1178</v>
      </c>
    </row>
    <row r="245" spans="11:24" x14ac:dyDescent="0.2">
      <c r="K245" t="s">
        <v>190</v>
      </c>
      <c r="L245" s="69">
        <f t="shared" si="11"/>
        <v>12949.540427399548</v>
      </c>
      <c r="M245" s="7" t="s">
        <v>1264</v>
      </c>
      <c r="N245" s="69"/>
      <c r="O245" s="69"/>
      <c r="P245" s="69"/>
      <c r="Q245" s="69"/>
      <c r="U245" s="108">
        <v>47119</v>
      </c>
      <c r="V245" t="s">
        <v>14</v>
      </c>
      <c r="W245" s="6" t="s">
        <v>1177</v>
      </c>
    </row>
    <row r="246" spans="11:24" x14ac:dyDescent="0.2">
      <c r="K246" t="s">
        <v>191</v>
      </c>
      <c r="L246" s="69">
        <v>11058.33</v>
      </c>
      <c r="M246" s="69" t="s">
        <v>1058</v>
      </c>
      <c r="U246" s="108">
        <v>47150</v>
      </c>
      <c r="V246" t="s">
        <v>1161</v>
      </c>
      <c r="W246" s="6" t="s">
        <v>1177</v>
      </c>
    </row>
    <row r="247" spans="11:24" x14ac:dyDescent="0.2">
      <c r="K247" t="s">
        <v>191</v>
      </c>
      <c r="L247" s="69">
        <v>11450</v>
      </c>
      <c r="M247" s="69" t="s">
        <v>1059</v>
      </c>
      <c r="N247" s="69"/>
      <c r="O247" s="69"/>
      <c r="P247" s="69"/>
      <c r="Q247" s="69"/>
      <c r="U247" s="108">
        <v>47150</v>
      </c>
      <c r="V247" t="s">
        <v>1100</v>
      </c>
      <c r="W247" s="6" t="s">
        <v>1178</v>
      </c>
    </row>
    <row r="248" spans="11:24" x14ac:dyDescent="0.2">
      <c r="K248" t="s">
        <v>191</v>
      </c>
      <c r="L248" s="69">
        <f>L247*1.035</f>
        <v>11850.749999999998</v>
      </c>
      <c r="M248" s="69" t="s">
        <v>1060</v>
      </c>
      <c r="N248" s="69"/>
      <c r="O248" s="69"/>
      <c r="P248" s="69"/>
      <c r="Q248" s="69"/>
      <c r="U248" s="108">
        <v>47150</v>
      </c>
      <c r="V248" t="s">
        <v>1097</v>
      </c>
      <c r="W248" s="6" t="s">
        <v>1179</v>
      </c>
    </row>
    <row r="249" spans="11:24" x14ac:dyDescent="0.2">
      <c r="K249" t="s">
        <v>191</v>
      </c>
      <c r="L249" s="69">
        <f>L248*1.035</f>
        <v>12265.526249999997</v>
      </c>
      <c r="M249" s="69" t="s">
        <v>1061</v>
      </c>
      <c r="N249" s="69"/>
      <c r="O249" s="69"/>
      <c r="P249" s="69"/>
      <c r="Q249" s="69"/>
      <c r="U249" s="108">
        <v>47178</v>
      </c>
      <c r="V249" t="s">
        <v>1148</v>
      </c>
      <c r="W249" s="6" t="s">
        <v>1177</v>
      </c>
    </row>
    <row r="250" spans="11:24" x14ac:dyDescent="0.2">
      <c r="K250" t="s">
        <v>191</v>
      </c>
      <c r="L250" s="69">
        <f>L249*1.04</f>
        <v>12756.147299999997</v>
      </c>
      <c r="M250" s="69" t="s">
        <v>1062</v>
      </c>
      <c r="N250" s="69"/>
      <c r="O250" s="69"/>
      <c r="P250" s="69"/>
      <c r="Q250" s="69"/>
      <c r="U250" s="108">
        <v>47178</v>
      </c>
      <c r="V250" t="s">
        <v>1100</v>
      </c>
      <c r="W250" s="6" t="s">
        <v>1178</v>
      </c>
    </row>
    <row r="251" spans="11:24" x14ac:dyDescent="0.2">
      <c r="K251" t="s">
        <v>191</v>
      </c>
      <c r="L251" s="69">
        <f t="shared" ref="L251:L253" si="12">L250*1.04</f>
        <v>13266.393191999998</v>
      </c>
      <c r="M251" s="69" t="s">
        <v>1115</v>
      </c>
      <c r="N251" s="69"/>
      <c r="O251" s="69"/>
      <c r="P251" s="69"/>
      <c r="Q251" s="69"/>
      <c r="U251" s="108">
        <v>47178</v>
      </c>
      <c r="V251" t="s">
        <v>1099</v>
      </c>
      <c r="W251" s="6" t="s">
        <v>1179</v>
      </c>
    </row>
    <row r="252" spans="11:24" x14ac:dyDescent="0.2">
      <c r="K252" t="s">
        <v>191</v>
      </c>
      <c r="L252" s="69">
        <f t="shared" si="12"/>
        <v>13797.048919679997</v>
      </c>
      <c r="M252" s="69" t="s">
        <v>1132</v>
      </c>
      <c r="N252" s="69"/>
      <c r="O252" s="69"/>
      <c r="P252" s="69"/>
      <c r="Q252" s="69"/>
      <c r="U252" s="108">
        <v>47209</v>
      </c>
      <c r="V252" t="s">
        <v>1100</v>
      </c>
      <c r="W252" s="6" t="s">
        <v>1178</v>
      </c>
    </row>
    <row r="253" spans="11:24" x14ac:dyDescent="0.2">
      <c r="K253" t="s">
        <v>191</v>
      </c>
      <c r="L253" s="69">
        <f t="shared" si="12"/>
        <v>14348.930876467197</v>
      </c>
      <c r="M253" s="7" t="s">
        <v>1264</v>
      </c>
      <c r="N253" s="69"/>
      <c r="O253" s="69"/>
      <c r="P253" s="69"/>
      <c r="Q253" s="69"/>
      <c r="U253" s="108">
        <v>47209</v>
      </c>
      <c r="V253" t="s">
        <v>132</v>
      </c>
      <c r="W253" s="6" t="s">
        <v>1178</v>
      </c>
    </row>
    <row r="254" spans="11:24" x14ac:dyDescent="0.2">
      <c r="K254" t="s">
        <v>1201</v>
      </c>
      <c r="L254" s="69">
        <v>11983.33</v>
      </c>
      <c r="M254" s="69" t="s">
        <v>1058</v>
      </c>
      <c r="N254" s="69"/>
      <c r="O254" s="69"/>
      <c r="P254" s="69"/>
      <c r="Q254" s="69"/>
      <c r="U254" s="108">
        <v>47209</v>
      </c>
      <c r="V254" t="s">
        <v>1101</v>
      </c>
      <c r="W254" s="6" t="s">
        <v>1179</v>
      </c>
    </row>
    <row r="255" spans="11:24" x14ac:dyDescent="0.2">
      <c r="K255" t="s">
        <v>1201</v>
      </c>
      <c r="L255" s="69">
        <v>12408.33</v>
      </c>
      <c r="M255" s="69" t="s">
        <v>1059</v>
      </c>
      <c r="N255" s="69"/>
      <c r="O255" s="69"/>
      <c r="P255" s="69"/>
      <c r="Q255" s="69"/>
      <c r="U255" s="108">
        <v>47239</v>
      </c>
      <c r="V255" t="s">
        <v>1102</v>
      </c>
      <c r="W255" s="6" t="s">
        <v>1178</v>
      </c>
    </row>
    <row r="256" spans="11:24" x14ac:dyDescent="0.2">
      <c r="K256" t="s">
        <v>1201</v>
      </c>
      <c r="L256" s="69">
        <f>L255*1.035</f>
        <v>12842.621549999998</v>
      </c>
      <c r="M256" s="69" t="s">
        <v>1060</v>
      </c>
      <c r="N256" s="69"/>
      <c r="O256" s="69"/>
      <c r="P256" s="69"/>
      <c r="Q256" s="69"/>
      <c r="U256" s="108">
        <v>47239</v>
      </c>
      <c r="V256" t="s">
        <v>1101</v>
      </c>
      <c r="W256" s="6" t="s">
        <v>1179</v>
      </c>
    </row>
    <row r="257" spans="11:23" x14ac:dyDescent="0.2">
      <c r="K257" t="s">
        <v>1201</v>
      </c>
      <c r="L257" s="69">
        <f>L256*1.035</f>
        <v>13292.113304249997</v>
      </c>
      <c r="M257" s="69" t="s">
        <v>1061</v>
      </c>
      <c r="N257" s="69"/>
      <c r="O257" s="69"/>
      <c r="P257" s="69"/>
      <c r="Q257" s="69"/>
      <c r="U257" s="108">
        <v>47239</v>
      </c>
      <c r="V257" t="s">
        <v>1145</v>
      </c>
      <c r="W257" s="6" t="s">
        <v>1229</v>
      </c>
    </row>
    <row r="258" spans="11:23" x14ac:dyDescent="0.2">
      <c r="K258" t="s">
        <v>1201</v>
      </c>
      <c r="L258" s="69">
        <f>L257*1.04</f>
        <v>13823.797836419997</v>
      </c>
      <c r="M258" s="69" t="s">
        <v>1062</v>
      </c>
      <c r="N258" s="69"/>
      <c r="O258" s="69"/>
      <c r="P258" s="69"/>
      <c r="Q258" s="69"/>
      <c r="U258" s="108">
        <v>47270</v>
      </c>
      <c r="V258" t="s">
        <v>1104</v>
      </c>
      <c r="W258" s="6" t="s">
        <v>1178</v>
      </c>
    </row>
    <row r="259" spans="11:23" x14ac:dyDescent="0.2">
      <c r="K259" t="s">
        <v>1201</v>
      </c>
      <c r="L259" s="69">
        <f>L258*1.04</f>
        <v>14376.749749876797</v>
      </c>
      <c r="M259" s="69" t="s">
        <v>1115</v>
      </c>
      <c r="N259" s="69"/>
      <c r="O259" s="69"/>
      <c r="P259" s="69"/>
      <c r="Q259" s="69"/>
      <c r="U259" s="108">
        <v>47270</v>
      </c>
      <c r="V259" t="s">
        <v>1101</v>
      </c>
      <c r="W259" s="6" t="s">
        <v>1179</v>
      </c>
    </row>
    <row r="260" spans="11:23" x14ac:dyDescent="0.2">
      <c r="K260" t="s">
        <v>1201</v>
      </c>
      <c r="L260" s="69">
        <f>L259*1.04</f>
        <v>14951.819739871869</v>
      </c>
      <c r="M260" s="69" t="s">
        <v>1132</v>
      </c>
      <c r="N260" s="69"/>
      <c r="O260" s="69"/>
      <c r="P260" s="69"/>
      <c r="Q260" s="69"/>
      <c r="U260" s="108">
        <v>47270</v>
      </c>
      <c r="V260" t="s">
        <v>149</v>
      </c>
      <c r="W260" s="6" t="s">
        <v>1229</v>
      </c>
    </row>
    <row r="261" spans="11:23" x14ac:dyDescent="0.2">
      <c r="K261" t="s">
        <v>1201</v>
      </c>
      <c r="L261" s="69">
        <f>L260*1.04</f>
        <v>15549.892529466744</v>
      </c>
      <c r="M261" s="7" t="s">
        <v>1264</v>
      </c>
      <c r="N261" s="69"/>
      <c r="O261" s="69"/>
      <c r="P261" s="69"/>
      <c r="Q261" s="69"/>
      <c r="U261" s="108">
        <v>47300</v>
      </c>
      <c r="V261" t="s">
        <v>1080</v>
      </c>
      <c r="W261" s="6" t="s">
        <v>1178</v>
      </c>
    </row>
    <row r="262" spans="11:23" x14ac:dyDescent="0.2">
      <c r="K262" t="s">
        <v>1202</v>
      </c>
      <c r="L262" s="69">
        <v>12850</v>
      </c>
      <c r="M262" s="69" t="s">
        <v>1058</v>
      </c>
      <c r="N262" s="69"/>
      <c r="O262" s="69"/>
      <c r="P262" s="69"/>
      <c r="Q262" s="69"/>
      <c r="U262" s="108">
        <v>47300</v>
      </c>
      <c r="V262" t="s">
        <v>1101</v>
      </c>
      <c r="W262" s="6" t="s">
        <v>1179</v>
      </c>
    </row>
    <row r="263" spans="11:23" x14ac:dyDescent="0.2">
      <c r="K263" t="s">
        <v>1202</v>
      </c>
      <c r="L263" s="69">
        <v>13300</v>
      </c>
      <c r="M263" s="69" t="s">
        <v>1059</v>
      </c>
      <c r="N263" s="69"/>
      <c r="O263" s="69"/>
      <c r="P263" s="69"/>
      <c r="Q263" s="69"/>
      <c r="U263" s="108">
        <v>47300</v>
      </c>
      <c r="V263" t="s">
        <v>1070</v>
      </c>
      <c r="W263" s="6" t="s">
        <v>1229</v>
      </c>
    </row>
    <row r="264" spans="11:23" x14ac:dyDescent="0.2">
      <c r="K264" t="s">
        <v>1202</v>
      </c>
      <c r="L264" s="69">
        <f>L263*1.035</f>
        <v>13765.499999999998</v>
      </c>
      <c r="M264" s="69" t="s">
        <v>1060</v>
      </c>
      <c r="N264" s="69"/>
      <c r="O264" s="69"/>
      <c r="P264" s="69"/>
      <c r="Q264" s="69"/>
      <c r="U264" s="108">
        <v>47331</v>
      </c>
      <c r="V264" t="s">
        <v>1106</v>
      </c>
      <c r="W264" s="6" t="s">
        <v>1178</v>
      </c>
    </row>
    <row r="265" spans="11:23" x14ac:dyDescent="0.2">
      <c r="K265" t="s">
        <v>1202</v>
      </c>
      <c r="L265" s="69">
        <f>L264*1.035</f>
        <v>14247.292499999998</v>
      </c>
      <c r="M265" s="69" t="s">
        <v>1061</v>
      </c>
      <c r="N265" s="69"/>
      <c r="O265" s="69"/>
      <c r="P265" s="69"/>
      <c r="Q265" s="69"/>
      <c r="U265" s="108">
        <v>47331</v>
      </c>
      <c r="V265" t="s">
        <v>1101</v>
      </c>
      <c r="W265" s="6" t="s">
        <v>1179</v>
      </c>
    </row>
    <row r="266" spans="11:23" x14ac:dyDescent="0.2">
      <c r="K266" t="s">
        <v>1202</v>
      </c>
      <c r="L266" s="69">
        <f>L265*1.04</f>
        <v>14817.184199999998</v>
      </c>
      <c r="M266" s="69" t="s">
        <v>1062</v>
      </c>
      <c r="N266" s="69"/>
      <c r="O266" s="69"/>
      <c r="P266" s="69"/>
      <c r="Q266" s="69"/>
      <c r="U266" s="108">
        <v>47331</v>
      </c>
      <c r="V266" t="s">
        <v>1164</v>
      </c>
      <c r="W266" s="6" t="s">
        <v>1229</v>
      </c>
    </row>
    <row r="267" spans="11:23" x14ac:dyDescent="0.2">
      <c r="K267" t="s">
        <v>1202</v>
      </c>
      <c r="L267" s="69">
        <f>L266*1.04</f>
        <v>15409.871567999999</v>
      </c>
      <c r="M267" s="69" t="s">
        <v>1115</v>
      </c>
      <c r="N267" s="69"/>
      <c r="O267" s="69"/>
      <c r="P267" s="69"/>
      <c r="Q267" s="69"/>
      <c r="U267" s="108">
        <v>47362</v>
      </c>
      <c r="V267" t="s">
        <v>12</v>
      </c>
      <c r="W267" s="6" t="s">
        <v>1178</v>
      </c>
    </row>
    <row r="268" spans="11:23" x14ac:dyDescent="0.2">
      <c r="K268" t="s">
        <v>1202</v>
      </c>
      <c r="L268" s="69">
        <f>L267*1.04</f>
        <v>16026.266430719999</v>
      </c>
      <c r="M268" s="69" t="s">
        <v>1132</v>
      </c>
      <c r="N268" s="69"/>
      <c r="O268" s="69"/>
      <c r="P268" s="69"/>
      <c r="Q268" s="69"/>
      <c r="U268" s="108">
        <v>47362</v>
      </c>
      <c r="V268" t="s">
        <v>1101</v>
      </c>
      <c r="W268" s="6" t="s">
        <v>1179</v>
      </c>
    </row>
    <row r="269" spans="11:23" x14ac:dyDescent="0.2">
      <c r="K269" t="s">
        <v>1202</v>
      </c>
      <c r="L269" s="69">
        <f>L268*1.04</f>
        <v>16667.317087948799</v>
      </c>
      <c r="M269" s="7" t="s">
        <v>1264</v>
      </c>
      <c r="N269" s="69"/>
      <c r="O269" s="69"/>
      <c r="P269" s="69"/>
      <c r="Q269" s="69"/>
      <c r="U269" s="108">
        <v>47362</v>
      </c>
      <c r="V269" t="s">
        <v>1165</v>
      </c>
      <c r="W269" s="6" t="s">
        <v>1229</v>
      </c>
    </row>
    <row r="270" spans="11:23" x14ac:dyDescent="0.2">
      <c r="K270" t="s">
        <v>1203</v>
      </c>
      <c r="L270" s="69">
        <v>13758.33</v>
      </c>
      <c r="M270" s="69" t="s">
        <v>1058</v>
      </c>
      <c r="N270" s="69"/>
      <c r="O270" s="69"/>
      <c r="P270" s="69"/>
      <c r="Q270" s="69"/>
      <c r="U270" s="108">
        <v>47392</v>
      </c>
      <c r="V270" t="s">
        <v>1101</v>
      </c>
      <c r="W270" s="6" t="s">
        <v>1179</v>
      </c>
    </row>
    <row r="271" spans="11:23" x14ac:dyDescent="0.2">
      <c r="K271" t="s">
        <v>1203</v>
      </c>
      <c r="L271" s="69">
        <v>14241.67</v>
      </c>
      <c r="M271" s="69" t="s">
        <v>1059</v>
      </c>
      <c r="N271" s="69"/>
      <c r="O271" s="69"/>
      <c r="P271" s="69"/>
      <c r="Q271" s="69"/>
      <c r="U271" s="108">
        <v>47392</v>
      </c>
      <c r="V271" t="s">
        <v>1100</v>
      </c>
      <c r="W271" s="6" t="s">
        <v>1229</v>
      </c>
    </row>
    <row r="272" spans="11:23" x14ac:dyDescent="0.2">
      <c r="K272" t="s">
        <v>1203</v>
      </c>
      <c r="L272" s="69">
        <f>L271*1.035</f>
        <v>14740.128449999998</v>
      </c>
      <c r="M272" s="69" t="s">
        <v>1060</v>
      </c>
      <c r="N272" s="69"/>
      <c r="O272" s="69"/>
      <c r="P272" s="69"/>
      <c r="Q272" s="69"/>
      <c r="U272" s="108">
        <v>47392</v>
      </c>
      <c r="V272" t="s">
        <v>132</v>
      </c>
      <c r="W272" s="6" t="s">
        <v>1229</v>
      </c>
    </row>
    <row r="273" spans="11:23" x14ac:dyDescent="0.2">
      <c r="K273" t="s">
        <v>1203</v>
      </c>
      <c r="L273" s="69">
        <f>L272*1.035</f>
        <v>15256.032945749997</v>
      </c>
      <c r="M273" s="69" t="s">
        <v>1061</v>
      </c>
      <c r="N273" s="69"/>
      <c r="O273" s="69"/>
      <c r="P273" s="69"/>
      <c r="Q273" s="69"/>
      <c r="U273" s="108">
        <v>47423</v>
      </c>
      <c r="V273" t="s">
        <v>1162</v>
      </c>
      <c r="W273" s="6" t="s">
        <v>1179</v>
      </c>
    </row>
    <row r="274" spans="11:23" x14ac:dyDescent="0.2">
      <c r="K274" t="s">
        <v>1203</v>
      </c>
      <c r="L274" s="69">
        <f>L273*1.04</f>
        <v>15866.274263579999</v>
      </c>
      <c r="M274" s="69" t="s">
        <v>1062</v>
      </c>
      <c r="N274" s="69"/>
      <c r="O274" s="69"/>
      <c r="P274" s="69"/>
      <c r="Q274" s="69"/>
      <c r="U274" s="108">
        <v>47423</v>
      </c>
      <c r="V274" t="s">
        <v>1100</v>
      </c>
      <c r="W274" s="6" t="s">
        <v>1229</v>
      </c>
    </row>
    <row r="275" spans="11:23" x14ac:dyDescent="0.2">
      <c r="K275" t="s">
        <v>1203</v>
      </c>
      <c r="L275" s="69">
        <f>L274*1.04</f>
        <v>16500.925234123199</v>
      </c>
      <c r="M275" s="69" t="s">
        <v>1115</v>
      </c>
      <c r="N275" s="69"/>
      <c r="O275" s="69"/>
      <c r="P275" s="69"/>
      <c r="Q275" s="69"/>
      <c r="U275" s="108">
        <v>47423</v>
      </c>
      <c r="V275" t="s">
        <v>142</v>
      </c>
      <c r="W275" s="6" t="s">
        <v>1265</v>
      </c>
    </row>
    <row r="276" spans="11:23" x14ac:dyDescent="0.2">
      <c r="K276" t="s">
        <v>1203</v>
      </c>
      <c r="L276" s="69">
        <f>L275*1.04</f>
        <v>17160.962243488128</v>
      </c>
      <c r="M276" s="69" t="s">
        <v>1132</v>
      </c>
      <c r="N276" s="69"/>
      <c r="O276" s="69"/>
      <c r="P276" s="69"/>
      <c r="Q276" s="69"/>
      <c r="U276" s="108">
        <v>47453</v>
      </c>
      <c r="V276" t="s">
        <v>1163</v>
      </c>
      <c r="W276" s="6" t="s">
        <v>1179</v>
      </c>
    </row>
    <row r="277" spans="11:23" x14ac:dyDescent="0.2">
      <c r="K277" t="s">
        <v>1203</v>
      </c>
      <c r="L277" s="69">
        <f>L276*1.04</f>
        <v>17847.400733227652</v>
      </c>
      <c r="M277" s="7" t="s">
        <v>1264</v>
      </c>
      <c r="N277" s="69"/>
      <c r="O277" s="69"/>
      <c r="P277" s="69"/>
      <c r="Q277" s="69"/>
      <c r="U277" s="108">
        <v>47453</v>
      </c>
      <c r="V277" t="s">
        <v>1100</v>
      </c>
      <c r="W277" s="6" t="s">
        <v>1229</v>
      </c>
    </row>
    <row r="278" spans="11:23" x14ac:dyDescent="0.2">
      <c r="K278" t="s">
        <v>1204</v>
      </c>
      <c r="L278" s="69">
        <v>15150</v>
      </c>
      <c r="M278" s="69" t="s">
        <v>1058</v>
      </c>
      <c r="N278" s="69"/>
      <c r="O278" s="69"/>
      <c r="P278" s="69"/>
      <c r="Q278" s="69"/>
      <c r="U278" s="108">
        <v>47453</v>
      </c>
      <c r="V278" t="s">
        <v>143</v>
      </c>
      <c r="W278" s="6" t="s">
        <v>1265</v>
      </c>
    </row>
    <row r="279" spans="11:23" x14ac:dyDescent="0.2">
      <c r="K279" t="s">
        <v>1204</v>
      </c>
      <c r="L279" s="69">
        <v>15683.33</v>
      </c>
      <c r="M279" s="69" t="s">
        <v>1059</v>
      </c>
      <c r="N279" s="69"/>
      <c r="O279" s="69"/>
      <c r="P279" s="69"/>
      <c r="Q279" s="69"/>
      <c r="U279" s="490">
        <v>47484</v>
      </c>
      <c r="V279" s="491" t="s">
        <v>150</v>
      </c>
      <c r="W279" s="492" t="s">
        <v>1179</v>
      </c>
    </row>
    <row r="280" spans="11:23" x14ac:dyDescent="0.2">
      <c r="K280" t="s">
        <v>1204</v>
      </c>
      <c r="L280" s="69">
        <f>L279*1.035</f>
        <v>16232.246549999998</v>
      </c>
      <c r="M280" s="69" t="s">
        <v>1060</v>
      </c>
      <c r="N280" s="69"/>
      <c r="O280" s="69"/>
      <c r="P280" s="69"/>
      <c r="Q280" s="69"/>
      <c r="U280" s="490">
        <v>47484</v>
      </c>
      <c r="V280" s="491" t="s">
        <v>1100</v>
      </c>
      <c r="W280" s="492" t="s">
        <v>1229</v>
      </c>
    </row>
    <row r="281" spans="11:23" x14ac:dyDescent="0.2">
      <c r="K281" t="s">
        <v>1204</v>
      </c>
      <c r="L281" s="69">
        <f>L280*1.035</f>
        <v>16800.375179249997</v>
      </c>
      <c r="M281" s="69" t="s">
        <v>1061</v>
      </c>
      <c r="N281" s="69"/>
      <c r="O281" s="69"/>
      <c r="P281" s="69"/>
      <c r="Q281" s="69"/>
      <c r="U281" s="490">
        <v>47484</v>
      </c>
      <c r="V281" s="491" t="s">
        <v>14</v>
      </c>
      <c r="W281" s="492" t="s">
        <v>1179</v>
      </c>
    </row>
    <row r="282" spans="11:23" x14ac:dyDescent="0.2">
      <c r="K282" t="s">
        <v>1204</v>
      </c>
      <c r="L282" s="69">
        <f>L281*1.04</f>
        <v>17472.390186419998</v>
      </c>
      <c r="M282" s="69" t="s">
        <v>1062</v>
      </c>
      <c r="N282" s="69"/>
      <c r="O282" s="69"/>
      <c r="P282" s="69"/>
      <c r="Q282" s="69"/>
      <c r="U282" s="490">
        <v>47515</v>
      </c>
      <c r="V282" s="491" t="s">
        <v>1161</v>
      </c>
      <c r="W282" s="492" t="s">
        <v>1179</v>
      </c>
    </row>
    <row r="283" spans="11:23" x14ac:dyDescent="0.2">
      <c r="K283" t="s">
        <v>1204</v>
      </c>
      <c r="L283" s="69">
        <f>L282*1.04</f>
        <v>18171.285793876799</v>
      </c>
      <c r="M283" s="69" t="s">
        <v>1115</v>
      </c>
      <c r="N283" s="69"/>
      <c r="O283" s="69"/>
      <c r="P283" s="69"/>
      <c r="Q283" s="69"/>
      <c r="U283" s="490">
        <v>47515</v>
      </c>
      <c r="V283" s="491" t="s">
        <v>1100</v>
      </c>
      <c r="W283" s="492" t="s">
        <v>1229</v>
      </c>
    </row>
    <row r="284" spans="11:23" x14ac:dyDescent="0.2">
      <c r="K284" t="s">
        <v>1204</v>
      </c>
      <c r="L284" s="69">
        <f>L283*1.04</f>
        <v>18898.137225631872</v>
      </c>
      <c r="M284" s="69" t="s">
        <v>1132</v>
      </c>
      <c r="N284" s="69"/>
      <c r="O284" s="69"/>
      <c r="P284" s="69"/>
      <c r="Q284" s="69"/>
      <c r="U284" s="490">
        <v>47515</v>
      </c>
      <c r="V284" s="491" t="s">
        <v>1097</v>
      </c>
      <c r="W284" s="492" t="s">
        <v>1265</v>
      </c>
    </row>
    <row r="285" spans="11:23" x14ac:dyDescent="0.2">
      <c r="K285" t="s">
        <v>1204</v>
      </c>
      <c r="L285" s="69">
        <f>L284*1.04</f>
        <v>19654.062714657146</v>
      </c>
      <c r="M285" s="7" t="s">
        <v>1264</v>
      </c>
      <c r="N285" s="69"/>
      <c r="O285" s="69"/>
      <c r="P285" s="69"/>
      <c r="Q285" s="69"/>
      <c r="U285" s="490">
        <v>47543</v>
      </c>
      <c r="V285" s="491" t="s">
        <v>1148</v>
      </c>
      <c r="W285" s="492" t="s">
        <v>1179</v>
      </c>
    </row>
    <row r="286" spans="11:23" x14ac:dyDescent="0.2">
      <c r="K286" t="s">
        <v>160</v>
      </c>
      <c r="L286" s="69">
        <v>9658.33</v>
      </c>
      <c r="M286" s="69" t="s">
        <v>1058</v>
      </c>
      <c r="U286" s="490">
        <v>47543</v>
      </c>
      <c r="V286" s="491" t="s">
        <v>1100</v>
      </c>
      <c r="W286" s="492" t="s">
        <v>1229</v>
      </c>
    </row>
    <row r="287" spans="11:23" x14ac:dyDescent="0.2">
      <c r="K287" t="s">
        <v>160</v>
      </c>
      <c r="L287" s="69">
        <v>10000</v>
      </c>
      <c r="M287" s="69" t="s">
        <v>1059</v>
      </c>
      <c r="N287" s="69"/>
      <c r="O287" s="69"/>
      <c r="P287" s="69"/>
      <c r="Q287" s="69"/>
      <c r="U287" s="490">
        <v>47543</v>
      </c>
      <c r="V287" s="491" t="s">
        <v>1099</v>
      </c>
      <c r="W287" s="492" t="s">
        <v>1265</v>
      </c>
    </row>
    <row r="288" spans="11:23" x14ac:dyDescent="0.2">
      <c r="K288" t="s">
        <v>160</v>
      </c>
      <c r="L288" s="69">
        <f>L287*1.035</f>
        <v>10350</v>
      </c>
      <c r="M288" s="69" t="s">
        <v>1060</v>
      </c>
      <c r="N288" s="69"/>
      <c r="O288" s="69"/>
      <c r="P288" s="69"/>
      <c r="Q288" s="69"/>
      <c r="U288" s="490">
        <v>47574</v>
      </c>
      <c r="V288" s="491" t="s">
        <v>1100</v>
      </c>
      <c r="W288" s="492" t="s">
        <v>1229</v>
      </c>
    </row>
    <row r="289" spans="11:23" x14ac:dyDescent="0.2">
      <c r="K289" t="s">
        <v>160</v>
      </c>
      <c r="L289" s="69">
        <f>L288*1.035</f>
        <v>10712.25</v>
      </c>
      <c r="M289" s="69" t="s">
        <v>1061</v>
      </c>
      <c r="N289" s="69"/>
      <c r="O289" s="69"/>
      <c r="P289" s="69"/>
      <c r="Q289" s="69"/>
      <c r="U289" s="490">
        <v>47574</v>
      </c>
      <c r="V289" s="491" t="s">
        <v>132</v>
      </c>
      <c r="W289" s="492" t="s">
        <v>1229</v>
      </c>
    </row>
    <row r="290" spans="11:23" x14ac:dyDescent="0.2">
      <c r="K290" t="s">
        <v>160</v>
      </c>
      <c r="L290" s="69">
        <f>L289*1.04</f>
        <v>11140.74</v>
      </c>
      <c r="M290" s="69" t="s">
        <v>1062</v>
      </c>
      <c r="N290" s="69"/>
      <c r="O290" s="69"/>
      <c r="P290" s="69"/>
      <c r="Q290" s="69"/>
      <c r="U290" s="490">
        <v>47574</v>
      </c>
      <c r="V290" s="491" t="s">
        <v>1101</v>
      </c>
      <c r="W290" s="492" t="s">
        <v>1265</v>
      </c>
    </row>
    <row r="291" spans="11:23" x14ac:dyDescent="0.2">
      <c r="K291" t="s">
        <v>160</v>
      </c>
      <c r="L291" s="69">
        <f t="shared" ref="L291:L293" si="13">L290*1.04</f>
        <v>11586.3696</v>
      </c>
      <c r="M291" s="69" t="s">
        <v>1115</v>
      </c>
      <c r="N291" s="69"/>
      <c r="O291" s="69"/>
      <c r="P291" s="69"/>
      <c r="Q291" s="69"/>
      <c r="U291" s="490">
        <v>47604</v>
      </c>
      <c r="V291" s="491" t="s">
        <v>1102</v>
      </c>
      <c r="W291" s="492" t="s">
        <v>1229</v>
      </c>
    </row>
    <row r="292" spans="11:23" x14ac:dyDescent="0.2">
      <c r="K292" t="s">
        <v>160</v>
      </c>
      <c r="L292" s="69">
        <f t="shared" si="13"/>
        <v>12049.824384</v>
      </c>
      <c r="M292" s="69" t="s">
        <v>1132</v>
      </c>
      <c r="N292" s="69"/>
      <c r="O292" s="69"/>
      <c r="P292" s="69"/>
      <c r="Q292" s="69"/>
      <c r="U292" s="490">
        <v>47604</v>
      </c>
      <c r="V292" s="491" t="s">
        <v>1101</v>
      </c>
      <c r="W292" s="492" t="s">
        <v>1265</v>
      </c>
    </row>
    <row r="293" spans="11:23" x14ac:dyDescent="0.2">
      <c r="K293" t="s">
        <v>160</v>
      </c>
      <c r="L293" s="69">
        <f t="shared" si="13"/>
        <v>12531.81735936</v>
      </c>
      <c r="M293" s="7" t="s">
        <v>1264</v>
      </c>
      <c r="N293" s="69"/>
      <c r="O293" s="69"/>
      <c r="P293" s="69"/>
      <c r="Q293" s="69"/>
      <c r="U293" s="490">
        <v>47604</v>
      </c>
      <c r="V293" s="491" t="s">
        <v>1145</v>
      </c>
      <c r="W293" s="492" t="s">
        <v>1266</v>
      </c>
    </row>
    <row r="294" spans="11:23" x14ac:dyDescent="0.2">
      <c r="K294" t="s">
        <v>161</v>
      </c>
      <c r="L294" s="69">
        <v>10141.67</v>
      </c>
      <c r="M294" s="69" t="s">
        <v>1058</v>
      </c>
      <c r="U294" s="490">
        <v>47635</v>
      </c>
      <c r="V294" s="491" t="s">
        <v>1104</v>
      </c>
      <c r="W294" s="492" t="s">
        <v>1229</v>
      </c>
    </row>
    <row r="295" spans="11:23" x14ac:dyDescent="0.2">
      <c r="K295" t="s">
        <v>161</v>
      </c>
      <c r="L295" s="69">
        <v>10500</v>
      </c>
      <c r="M295" s="69" t="s">
        <v>1059</v>
      </c>
      <c r="N295" s="69"/>
      <c r="O295" s="69"/>
      <c r="P295" s="69"/>
      <c r="Q295" s="69"/>
      <c r="U295" s="490">
        <v>47635</v>
      </c>
      <c r="V295" s="491" t="s">
        <v>1101</v>
      </c>
      <c r="W295" s="492" t="s">
        <v>1265</v>
      </c>
    </row>
    <row r="296" spans="11:23" x14ac:dyDescent="0.2">
      <c r="K296" t="s">
        <v>161</v>
      </c>
      <c r="L296" s="69">
        <f>L295*1.035</f>
        <v>10867.5</v>
      </c>
      <c r="M296" s="69" t="s">
        <v>1060</v>
      </c>
      <c r="N296" s="69"/>
      <c r="O296" s="69"/>
      <c r="P296" s="69"/>
      <c r="Q296" s="69"/>
      <c r="U296" s="490">
        <v>47635</v>
      </c>
      <c r="V296" s="491" t="s">
        <v>149</v>
      </c>
      <c r="W296" s="492" t="s">
        <v>1266</v>
      </c>
    </row>
    <row r="297" spans="11:23" x14ac:dyDescent="0.2">
      <c r="K297" t="s">
        <v>161</v>
      </c>
      <c r="L297" s="69">
        <f>L296*1.035</f>
        <v>11247.862499999999</v>
      </c>
      <c r="M297" s="69" t="s">
        <v>1061</v>
      </c>
      <c r="N297" s="69"/>
      <c r="O297" s="69"/>
      <c r="P297" s="69"/>
      <c r="Q297" s="69"/>
      <c r="U297" s="490">
        <v>47665</v>
      </c>
      <c r="V297" s="491" t="s">
        <v>1080</v>
      </c>
      <c r="W297" s="492" t="s">
        <v>1229</v>
      </c>
    </row>
    <row r="298" spans="11:23" x14ac:dyDescent="0.2">
      <c r="K298" t="s">
        <v>161</v>
      </c>
      <c r="L298" s="69">
        <f>L297*1.04</f>
        <v>11697.777</v>
      </c>
      <c r="M298" s="69" t="s">
        <v>1062</v>
      </c>
      <c r="N298" s="69"/>
      <c r="O298" s="69"/>
      <c r="P298" s="69"/>
      <c r="Q298" s="69"/>
      <c r="U298" s="490">
        <v>47665</v>
      </c>
      <c r="V298" s="491" t="s">
        <v>1101</v>
      </c>
      <c r="W298" s="492" t="s">
        <v>1265</v>
      </c>
    </row>
    <row r="299" spans="11:23" x14ac:dyDescent="0.2">
      <c r="K299" t="s">
        <v>161</v>
      </c>
      <c r="L299" s="69">
        <f t="shared" ref="L299:L301" si="14">L298*1.04</f>
        <v>12165.68808</v>
      </c>
      <c r="M299" s="69" t="s">
        <v>1115</v>
      </c>
      <c r="U299" s="490">
        <v>47665</v>
      </c>
      <c r="V299" s="491" t="s">
        <v>1070</v>
      </c>
      <c r="W299" s="492" t="s">
        <v>1266</v>
      </c>
    </row>
    <row r="300" spans="11:23" x14ac:dyDescent="0.2">
      <c r="K300" t="s">
        <v>161</v>
      </c>
      <c r="L300" s="69">
        <f t="shared" si="14"/>
        <v>12652.315603200001</v>
      </c>
      <c r="M300" s="69" t="s">
        <v>1132</v>
      </c>
      <c r="U300" s="490">
        <v>47696</v>
      </c>
      <c r="V300" s="491" t="s">
        <v>1106</v>
      </c>
      <c r="W300" s="492" t="s">
        <v>1229</v>
      </c>
    </row>
    <row r="301" spans="11:23" x14ac:dyDescent="0.2">
      <c r="K301" t="s">
        <v>161</v>
      </c>
      <c r="L301" s="69">
        <f t="shared" si="14"/>
        <v>13158.408227328002</v>
      </c>
      <c r="M301" s="7" t="s">
        <v>1264</v>
      </c>
      <c r="U301" s="490">
        <v>47696</v>
      </c>
      <c r="V301" s="491" t="s">
        <v>1101</v>
      </c>
      <c r="W301" s="492" t="s">
        <v>1265</v>
      </c>
    </row>
    <row r="302" spans="11:23" x14ac:dyDescent="0.2">
      <c r="K302" t="s">
        <v>162</v>
      </c>
      <c r="L302" s="69">
        <v>10658.33</v>
      </c>
      <c r="M302" s="69" t="s">
        <v>1058</v>
      </c>
      <c r="U302" s="490">
        <v>47696</v>
      </c>
      <c r="V302" s="491" t="s">
        <v>1164</v>
      </c>
      <c r="W302" s="492" t="s">
        <v>1266</v>
      </c>
    </row>
    <row r="303" spans="11:23" x14ac:dyDescent="0.2">
      <c r="K303" t="s">
        <v>162</v>
      </c>
      <c r="L303" s="69">
        <v>11033.33</v>
      </c>
      <c r="M303" s="69" t="s">
        <v>1059</v>
      </c>
      <c r="N303" s="69"/>
      <c r="O303" s="69"/>
      <c r="P303" s="69"/>
      <c r="Q303" s="69"/>
      <c r="U303" s="490">
        <v>47727</v>
      </c>
      <c r="V303" s="491" t="s">
        <v>12</v>
      </c>
      <c r="W303" s="492" t="s">
        <v>1229</v>
      </c>
    </row>
    <row r="304" spans="11:23" x14ac:dyDescent="0.2">
      <c r="K304" t="s">
        <v>162</v>
      </c>
      <c r="L304" s="69">
        <f>L303*1.035</f>
        <v>11419.49655</v>
      </c>
      <c r="M304" s="69" t="s">
        <v>1060</v>
      </c>
      <c r="N304" s="69"/>
      <c r="O304" s="69"/>
      <c r="P304" s="69"/>
      <c r="Q304" s="69"/>
      <c r="U304" s="490">
        <v>47727</v>
      </c>
      <c r="V304" s="491" t="s">
        <v>1101</v>
      </c>
      <c r="W304" s="492" t="s">
        <v>1265</v>
      </c>
    </row>
    <row r="305" spans="11:23" x14ac:dyDescent="0.2">
      <c r="K305" t="s">
        <v>162</v>
      </c>
      <c r="L305" s="69">
        <f>L304*1.035</f>
        <v>11819.17892925</v>
      </c>
      <c r="M305" s="69" t="s">
        <v>1061</v>
      </c>
      <c r="N305" s="69"/>
      <c r="O305" s="69"/>
      <c r="P305" s="69"/>
      <c r="Q305" s="69"/>
      <c r="U305" s="490">
        <v>47727</v>
      </c>
      <c r="V305" s="491" t="s">
        <v>1165</v>
      </c>
      <c r="W305" s="492" t="s">
        <v>1266</v>
      </c>
    </row>
    <row r="306" spans="11:23" x14ac:dyDescent="0.2">
      <c r="K306" t="s">
        <v>162</v>
      </c>
      <c r="L306" s="69">
        <f>L305*1.04</f>
        <v>12291.946086420001</v>
      </c>
      <c r="M306" s="69" t="s">
        <v>1062</v>
      </c>
      <c r="N306" s="69"/>
      <c r="O306" s="69"/>
      <c r="P306" s="69"/>
      <c r="Q306" s="69"/>
      <c r="U306" s="490">
        <v>47757</v>
      </c>
      <c r="V306" s="491" t="s">
        <v>1101</v>
      </c>
      <c r="W306" s="492" t="s">
        <v>1265</v>
      </c>
    </row>
    <row r="307" spans="11:23" x14ac:dyDescent="0.2">
      <c r="K307" t="s">
        <v>162</v>
      </c>
      <c r="L307" s="69">
        <f t="shared" ref="L307:L309" si="15">L306*1.04</f>
        <v>12783.623929876801</v>
      </c>
      <c r="M307" s="69" t="s">
        <v>1115</v>
      </c>
      <c r="N307" s="69"/>
      <c r="O307" s="69"/>
      <c r="P307" s="69"/>
      <c r="Q307" s="69"/>
      <c r="U307" s="490">
        <v>47757</v>
      </c>
      <c r="V307" s="491" t="s">
        <v>1100</v>
      </c>
      <c r="W307" s="492" t="s">
        <v>1266</v>
      </c>
    </row>
    <row r="308" spans="11:23" x14ac:dyDescent="0.2">
      <c r="K308" t="s">
        <v>162</v>
      </c>
      <c r="L308" s="69">
        <f t="shared" si="15"/>
        <v>13294.968887071875</v>
      </c>
      <c r="M308" s="69" t="s">
        <v>1132</v>
      </c>
      <c r="N308" s="69"/>
      <c r="O308" s="69"/>
      <c r="P308" s="69"/>
      <c r="Q308" s="69"/>
      <c r="U308" s="490">
        <v>47757</v>
      </c>
      <c r="V308" s="491" t="s">
        <v>132</v>
      </c>
      <c r="W308" s="492" t="s">
        <v>1266</v>
      </c>
    </row>
    <row r="309" spans="11:23" x14ac:dyDescent="0.2">
      <c r="K309" t="s">
        <v>162</v>
      </c>
      <c r="L309" s="69">
        <f t="shared" si="15"/>
        <v>13826.767642554751</v>
      </c>
      <c r="M309" s="7" t="s">
        <v>1264</v>
      </c>
      <c r="N309" s="69"/>
      <c r="O309" s="69"/>
      <c r="P309" s="69"/>
      <c r="Q309" s="69"/>
      <c r="U309" s="490">
        <v>47788</v>
      </c>
      <c r="V309" s="491" t="s">
        <v>1162</v>
      </c>
      <c r="W309" s="492" t="s">
        <v>1265</v>
      </c>
    </row>
    <row r="310" spans="11:23" x14ac:dyDescent="0.2">
      <c r="K310" t="s">
        <v>163</v>
      </c>
      <c r="L310" s="69">
        <v>11216.67</v>
      </c>
      <c r="M310" s="69" t="s">
        <v>1058</v>
      </c>
      <c r="U310" s="490">
        <v>47788</v>
      </c>
      <c r="V310" s="491" t="s">
        <v>1100</v>
      </c>
      <c r="W310" s="492" t="s">
        <v>1266</v>
      </c>
    </row>
    <row r="311" spans="11:23" x14ac:dyDescent="0.2">
      <c r="K311" t="s">
        <v>163</v>
      </c>
      <c r="L311" s="69">
        <v>11616.67</v>
      </c>
      <c r="M311" s="69" t="s">
        <v>1059</v>
      </c>
      <c r="N311" s="69"/>
      <c r="O311" s="69"/>
      <c r="P311" s="69"/>
      <c r="Q311" s="69"/>
      <c r="U311" s="490">
        <v>47788</v>
      </c>
      <c r="V311" s="491" t="s">
        <v>142</v>
      </c>
      <c r="W311" s="492" t="s">
        <v>1267</v>
      </c>
    </row>
    <row r="312" spans="11:23" x14ac:dyDescent="0.2">
      <c r="K312" t="s">
        <v>163</v>
      </c>
      <c r="L312" s="69">
        <f>L311*1.035</f>
        <v>12023.253449999998</v>
      </c>
      <c r="M312" s="69" t="s">
        <v>1060</v>
      </c>
      <c r="N312" s="69"/>
      <c r="O312" s="69"/>
      <c r="P312" s="69"/>
      <c r="Q312" s="69"/>
      <c r="U312" s="490">
        <v>47818</v>
      </c>
      <c r="V312" s="491" t="s">
        <v>1163</v>
      </c>
      <c r="W312" s="492" t="s">
        <v>1265</v>
      </c>
    </row>
    <row r="313" spans="11:23" x14ac:dyDescent="0.2">
      <c r="K313" t="s">
        <v>163</v>
      </c>
      <c r="L313" s="69">
        <f>L312*1.035</f>
        <v>12444.067320749997</v>
      </c>
      <c r="M313" s="69" t="s">
        <v>1061</v>
      </c>
      <c r="N313" s="69"/>
      <c r="O313" s="69"/>
      <c r="P313" s="69"/>
      <c r="Q313" s="69"/>
      <c r="U313" s="490">
        <v>47818</v>
      </c>
      <c r="V313" s="491" t="s">
        <v>1100</v>
      </c>
      <c r="W313" s="492" t="s">
        <v>1266</v>
      </c>
    </row>
    <row r="314" spans="11:23" x14ac:dyDescent="0.2">
      <c r="K314" t="s">
        <v>163</v>
      </c>
      <c r="L314" s="69">
        <f>L313*1.04</f>
        <v>12941.830013579996</v>
      </c>
      <c r="M314" s="69" t="s">
        <v>1062</v>
      </c>
      <c r="N314" s="69"/>
      <c r="O314" s="69"/>
      <c r="P314" s="69"/>
      <c r="Q314" s="69"/>
      <c r="U314" s="490">
        <v>47818</v>
      </c>
      <c r="V314" s="491" t="s">
        <v>143</v>
      </c>
      <c r="W314" s="492" t="s">
        <v>1267</v>
      </c>
    </row>
    <row r="315" spans="11:23" x14ac:dyDescent="0.2">
      <c r="K315" t="s">
        <v>163</v>
      </c>
      <c r="L315" s="69">
        <f t="shared" ref="L315:L317" si="16">L314*1.04</f>
        <v>13459.503214123197</v>
      </c>
      <c r="M315" s="69" t="s">
        <v>1115</v>
      </c>
      <c r="N315" s="69"/>
      <c r="O315" s="69"/>
      <c r="P315" s="69"/>
      <c r="Q315" s="69"/>
      <c r="U315" s="108">
        <v>47849</v>
      </c>
      <c r="V315" t="s">
        <v>150</v>
      </c>
      <c r="W315" s="6" t="s">
        <v>1265</v>
      </c>
    </row>
    <row r="316" spans="11:23" x14ac:dyDescent="0.2">
      <c r="K316" t="s">
        <v>163</v>
      </c>
      <c r="L316" s="69">
        <f t="shared" si="16"/>
        <v>13997.883342688125</v>
      </c>
      <c r="M316" s="69" t="s">
        <v>1132</v>
      </c>
      <c r="N316" s="69"/>
      <c r="O316" s="69"/>
      <c r="P316" s="69"/>
      <c r="Q316" s="69"/>
      <c r="U316" s="108">
        <v>47849</v>
      </c>
      <c r="V316" t="s">
        <v>1100</v>
      </c>
      <c r="W316" s="6" t="s">
        <v>1266</v>
      </c>
    </row>
    <row r="317" spans="11:23" x14ac:dyDescent="0.2">
      <c r="K317" t="s">
        <v>163</v>
      </c>
      <c r="L317" s="69">
        <f t="shared" si="16"/>
        <v>14557.798676395651</v>
      </c>
      <c r="M317" s="7" t="s">
        <v>1264</v>
      </c>
      <c r="N317" s="69"/>
      <c r="O317" s="69"/>
      <c r="P317" s="69"/>
      <c r="Q317" s="69"/>
      <c r="U317" s="108">
        <v>47849</v>
      </c>
      <c r="V317" t="s">
        <v>14</v>
      </c>
      <c r="W317" s="6" t="s">
        <v>1265</v>
      </c>
    </row>
    <row r="318" spans="11:23" x14ac:dyDescent="0.2">
      <c r="K318" t="s">
        <v>164</v>
      </c>
      <c r="L318" s="69">
        <v>11700</v>
      </c>
      <c r="M318" s="69" t="s">
        <v>1058</v>
      </c>
      <c r="U318" s="108">
        <v>47880</v>
      </c>
      <c r="V318" t="s">
        <v>1161</v>
      </c>
      <c r="W318" s="6" t="s">
        <v>1265</v>
      </c>
    </row>
    <row r="319" spans="11:23" x14ac:dyDescent="0.2">
      <c r="K319" t="s">
        <v>164</v>
      </c>
      <c r="L319" s="69">
        <v>12116.67</v>
      </c>
      <c r="M319" s="69" t="s">
        <v>1059</v>
      </c>
      <c r="N319" s="69"/>
      <c r="O319" s="69"/>
      <c r="P319" s="69"/>
      <c r="Q319" s="69"/>
      <c r="U319" s="108">
        <v>47880</v>
      </c>
      <c r="V319" t="s">
        <v>1100</v>
      </c>
      <c r="W319" s="6" t="s">
        <v>1266</v>
      </c>
    </row>
    <row r="320" spans="11:23" x14ac:dyDescent="0.2">
      <c r="K320" t="s">
        <v>164</v>
      </c>
      <c r="L320" s="69">
        <f>L319*1.035</f>
        <v>12540.753449999998</v>
      </c>
      <c r="M320" s="69" t="s">
        <v>1060</v>
      </c>
      <c r="N320" s="69"/>
      <c r="O320" s="69"/>
      <c r="P320" s="69"/>
      <c r="Q320" s="69"/>
      <c r="U320" s="108">
        <v>47880</v>
      </c>
      <c r="V320" t="s">
        <v>1097</v>
      </c>
      <c r="W320" s="6" t="s">
        <v>1267</v>
      </c>
    </row>
    <row r="321" spans="11:23" x14ac:dyDescent="0.2">
      <c r="K321" t="s">
        <v>164</v>
      </c>
      <c r="L321" s="69">
        <f>L320*1.035</f>
        <v>12979.679820749998</v>
      </c>
      <c r="M321" s="69" t="s">
        <v>1061</v>
      </c>
      <c r="N321" s="69"/>
      <c r="O321" s="69"/>
      <c r="P321" s="69"/>
      <c r="Q321" s="69"/>
      <c r="U321" s="108">
        <v>47908</v>
      </c>
      <c r="V321" t="s">
        <v>1148</v>
      </c>
      <c r="W321" s="6" t="s">
        <v>1265</v>
      </c>
    </row>
    <row r="322" spans="11:23" x14ac:dyDescent="0.2">
      <c r="K322" t="s">
        <v>164</v>
      </c>
      <c r="L322" s="69">
        <f>L321*1.04</f>
        <v>13498.867013579998</v>
      </c>
      <c r="M322" s="69" t="s">
        <v>1062</v>
      </c>
      <c r="N322" s="69"/>
      <c r="O322" s="69"/>
      <c r="P322" s="69"/>
      <c r="Q322" s="69"/>
      <c r="U322" s="108">
        <v>47908</v>
      </c>
      <c r="V322" t="s">
        <v>1100</v>
      </c>
      <c r="W322" s="6" t="s">
        <v>1266</v>
      </c>
    </row>
    <row r="323" spans="11:23" x14ac:dyDescent="0.2">
      <c r="K323" t="s">
        <v>164</v>
      </c>
      <c r="L323" s="69">
        <f t="shared" ref="L323:L325" si="17">L322*1.04</f>
        <v>14038.821694123199</v>
      </c>
      <c r="M323" s="69" t="s">
        <v>1115</v>
      </c>
      <c r="N323" s="69"/>
      <c r="O323" s="69"/>
      <c r="P323" s="69"/>
      <c r="Q323" s="69"/>
      <c r="U323" s="108">
        <v>47908</v>
      </c>
      <c r="V323" t="s">
        <v>1099</v>
      </c>
      <c r="W323" s="6" t="s">
        <v>1267</v>
      </c>
    </row>
    <row r="324" spans="11:23" x14ac:dyDescent="0.2">
      <c r="K324" t="s">
        <v>164</v>
      </c>
      <c r="L324" s="69">
        <f t="shared" si="17"/>
        <v>14600.374561888128</v>
      </c>
      <c r="M324" s="69" t="s">
        <v>1132</v>
      </c>
      <c r="N324" s="69"/>
      <c r="O324" s="69"/>
      <c r="P324" s="69"/>
      <c r="Q324" s="69"/>
      <c r="U324" s="108">
        <v>47939</v>
      </c>
      <c r="V324" t="s">
        <v>1100</v>
      </c>
      <c r="W324" s="6" t="s">
        <v>1266</v>
      </c>
    </row>
    <row r="325" spans="11:23" x14ac:dyDescent="0.2">
      <c r="K325" t="s">
        <v>164</v>
      </c>
      <c r="L325" s="69">
        <f t="shared" si="17"/>
        <v>15184.389544363654</v>
      </c>
      <c r="M325" s="7" t="s">
        <v>1264</v>
      </c>
      <c r="N325" s="69"/>
      <c r="O325" s="69"/>
      <c r="P325" s="69"/>
      <c r="Q325" s="69"/>
      <c r="U325" s="108">
        <v>47939</v>
      </c>
      <c r="V325" t="s">
        <v>132</v>
      </c>
      <c r="W325" s="6" t="s">
        <v>1266</v>
      </c>
    </row>
    <row r="326" spans="11:23" x14ac:dyDescent="0.2">
      <c r="K326" t="s">
        <v>165</v>
      </c>
      <c r="L326" s="69">
        <v>12133.33</v>
      </c>
      <c r="M326" s="69" t="s">
        <v>1058</v>
      </c>
      <c r="U326" s="108">
        <v>47939</v>
      </c>
      <c r="V326" t="s">
        <v>1101</v>
      </c>
      <c r="W326" s="6" t="s">
        <v>1267</v>
      </c>
    </row>
    <row r="327" spans="11:23" x14ac:dyDescent="0.2">
      <c r="K327" t="s">
        <v>165</v>
      </c>
      <c r="L327" s="69">
        <v>12558.33</v>
      </c>
      <c r="M327" s="69" t="s">
        <v>1059</v>
      </c>
      <c r="N327" s="69"/>
      <c r="O327" s="69"/>
      <c r="P327" s="69"/>
      <c r="Q327" s="69"/>
      <c r="U327" s="108">
        <v>47969</v>
      </c>
      <c r="V327" t="s">
        <v>1102</v>
      </c>
      <c r="W327" s="6" t="s">
        <v>1266</v>
      </c>
    </row>
    <row r="328" spans="11:23" x14ac:dyDescent="0.2">
      <c r="K328" t="s">
        <v>165</v>
      </c>
      <c r="L328" s="69">
        <f>L327*1.035</f>
        <v>12997.871549999998</v>
      </c>
      <c r="M328" s="69" t="s">
        <v>1060</v>
      </c>
      <c r="N328" s="69"/>
      <c r="O328" s="69"/>
      <c r="P328" s="69"/>
      <c r="Q328" s="69"/>
      <c r="U328" s="108">
        <v>47969</v>
      </c>
      <c r="V328" t="s">
        <v>1101</v>
      </c>
      <c r="W328" s="6" t="s">
        <v>1267</v>
      </c>
    </row>
    <row r="329" spans="11:23" x14ac:dyDescent="0.2">
      <c r="K329" t="s">
        <v>165</v>
      </c>
      <c r="L329" s="69">
        <f>L328*1.035</f>
        <v>13452.797054249997</v>
      </c>
      <c r="M329" s="69" t="s">
        <v>1061</v>
      </c>
      <c r="N329" s="69"/>
      <c r="O329" s="69"/>
      <c r="P329" s="69"/>
      <c r="Q329" s="69"/>
      <c r="U329" s="108">
        <v>47969</v>
      </c>
      <c r="V329" t="s">
        <v>1145</v>
      </c>
      <c r="W329" s="6" t="s">
        <v>1360</v>
      </c>
    </row>
    <row r="330" spans="11:23" x14ac:dyDescent="0.2">
      <c r="K330" t="s">
        <v>165</v>
      </c>
      <c r="L330" s="69">
        <f>L329*1.04</f>
        <v>13990.908936419997</v>
      </c>
      <c r="M330" s="69" t="s">
        <v>1062</v>
      </c>
      <c r="N330" s="69"/>
      <c r="O330" s="69"/>
      <c r="P330" s="69"/>
      <c r="Q330" s="69"/>
      <c r="U330" s="108">
        <v>48000</v>
      </c>
      <c r="V330" t="s">
        <v>1104</v>
      </c>
      <c r="W330" s="6" t="s">
        <v>1266</v>
      </c>
    </row>
    <row r="331" spans="11:23" x14ac:dyDescent="0.2">
      <c r="K331" t="s">
        <v>165</v>
      </c>
      <c r="L331" s="69">
        <f t="shared" ref="L331:L333" si="18">L330*1.04</f>
        <v>14550.545293876798</v>
      </c>
      <c r="M331" s="69" t="s">
        <v>1115</v>
      </c>
      <c r="N331" s="69"/>
      <c r="O331" s="69"/>
      <c r="P331" s="69"/>
      <c r="Q331" s="69"/>
      <c r="U331" s="108">
        <v>48000</v>
      </c>
      <c r="V331" t="s">
        <v>1101</v>
      </c>
      <c r="W331" s="6" t="s">
        <v>1267</v>
      </c>
    </row>
    <row r="332" spans="11:23" x14ac:dyDescent="0.2">
      <c r="K332" t="s">
        <v>165</v>
      </c>
      <c r="L332" s="69">
        <f t="shared" si="18"/>
        <v>15132.56710563187</v>
      </c>
      <c r="M332" s="69" t="s">
        <v>1132</v>
      </c>
      <c r="N332" s="69"/>
      <c r="O332" s="69"/>
      <c r="P332" s="69"/>
      <c r="Q332" s="69"/>
      <c r="U332" s="108">
        <v>48000</v>
      </c>
      <c r="V332" t="s">
        <v>149</v>
      </c>
      <c r="W332" s="6" t="s">
        <v>1360</v>
      </c>
    </row>
    <row r="333" spans="11:23" x14ac:dyDescent="0.2">
      <c r="K333" t="s">
        <v>165</v>
      </c>
      <c r="L333" s="69">
        <f t="shared" si="18"/>
        <v>15737.869789857144</v>
      </c>
      <c r="M333" s="7" t="s">
        <v>1264</v>
      </c>
      <c r="N333" s="69"/>
      <c r="O333" s="69"/>
      <c r="P333" s="69"/>
      <c r="Q333" s="69"/>
      <c r="U333" s="108">
        <v>48030</v>
      </c>
      <c r="V333" t="s">
        <v>1080</v>
      </c>
      <c r="W333" s="6" t="s">
        <v>1266</v>
      </c>
    </row>
    <row r="334" spans="11:23" x14ac:dyDescent="0.2">
      <c r="K334" t="s">
        <v>166</v>
      </c>
      <c r="L334" s="69">
        <v>11708.33</v>
      </c>
      <c r="M334" s="69" t="s">
        <v>1058</v>
      </c>
      <c r="U334" s="108">
        <v>48030</v>
      </c>
      <c r="V334" t="s">
        <v>1101</v>
      </c>
      <c r="W334" s="6" t="s">
        <v>1267</v>
      </c>
    </row>
    <row r="335" spans="11:23" x14ac:dyDescent="0.2">
      <c r="K335" t="s">
        <v>166</v>
      </c>
      <c r="L335" s="69">
        <v>12125</v>
      </c>
      <c r="M335" s="69" t="s">
        <v>1059</v>
      </c>
      <c r="N335" s="69"/>
      <c r="O335" s="69"/>
      <c r="P335" s="69"/>
      <c r="Q335" s="69"/>
      <c r="U335" s="108">
        <v>48030</v>
      </c>
      <c r="V335" t="s">
        <v>1070</v>
      </c>
      <c r="W335" s="6" t="s">
        <v>1360</v>
      </c>
    </row>
    <row r="336" spans="11:23" x14ac:dyDescent="0.2">
      <c r="K336" t="s">
        <v>166</v>
      </c>
      <c r="L336" s="69">
        <f>L335*1.035</f>
        <v>12549.374999999998</v>
      </c>
      <c r="M336" s="69" t="s">
        <v>1060</v>
      </c>
      <c r="N336" s="69"/>
      <c r="O336" s="69"/>
      <c r="P336" s="69"/>
      <c r="Q336" s="69"/>
      <c r="U336" s="108">
        <v>48061</v>
      </c>
      <c r="V336" t="s">
        <v>1106</v>
      </c>
      <c r="W336" s="6" t="s">
        <v>1266</v>
      </c>
    </row>
    <row r="337" spans="11:23" x14ac:dyDescent="0.2">
      <c r="K337" t="s">
        <v>166</v>
      </c>
      <c r="L337" s="69">
        <f>L336*1.035</f>
        <v>12988.603124999998</v>
      </c>
      <c r="M337" s="69" t="s">
        <v>1061</v>
      </c>
      <c r="N337" s="69"/>
      <c r="O337" s="69"/>
      <c r="P337" s="69"/>
      <c r="Q337" s="69"/>
      <c r="U337" s="108">
        <v>48061</v>
      </c>
      <c r="V337" t="s">
        <v>1101</v>
      </c>
      <c r="W337" s="6" t="s">
        <v>1267</v>
      </c>
    </row>
    <row r="338" spans="11:23" x14ac:dyDescent="0.2">
      <c r="K338" t="s">
        <v>166</v>
      </c>
      <c r="L338" s="69">
        <f>L337*1.04</f>
        <v>13508.147249999998</v>
      </c>
      <c r="M338" s="69" t="s">
        <v>1062</v>
      </c>
      <c r="N338" s="69"/>
      <c r="O338" s="69"/>
      <c r="P338" s="69"/>
      <c r="Q338" s="69"/>
      <c r="U338" s="108">
        <v>48061</v>
      </c>
      <c r="V338" t="s">
        <v>1164</v>
      </c>
      <c r="W338" s="6" t="s">
        <v>1360</v>
      </c>
    </row>
    <row r="339" spans="11:23" x14ac:dyDescent="0.2">
      <c r="K339" t="s">
        <v>166</v>
      </c>
      <c r="L339" s="69">
        <f t="shared" ref="L339:L341" si="19">L338*1.04</f>
        <v>14048.473139999998</v>
      </c>
      <c r="M339" s="69" t="s">
        <v>1115</v>
      </c>
      <c r="N339" s="69"/>
      <c r="O339" s="69"/>
      <c r="P339" s="69"/>
      <c r="Q339" s="69"/>
      <c r="U339" s="108">
        <v>48092</v>
      </c>
      <c r="V339" t="s">
        <v>12</v>
      </c>
      <c r="W339" s="6" t="s">
        <v>1266</v>
      </c>
    </row>
    <row r="340" spans="11:23" x14ac:dyDescent="0.2">
      <c r="K340" t="s">
        <v>166</v>
      </c>
      <c r="L340" s="69">
        <f t="shared" si="19"/>
        <v>14610.4120656</v>
      </c>
      <c r="M340" s="69" t="s">
        <v>1132</v>
      </c>
      <c r="N340" s="69"/>
      <c r="O340" s="69"/>
      <c r="P340" s="69"/>
      <c r="Q340" s="69"/>
      <c r="U340" s="108">
        <v>48092</v>
      </c>
      <c r="V340" t="s">
        <v>1101</v>
      </c>
      <c r="W340" s="6" t="s">
        <v>1267</v>
      </c>
    </row>
    <row r="341" spans="11:23" x14ac:dyDescent="0.2">
      <c r="K341" t="s">
        <v>166</v>
      </c>
      <c r="L341" s="69">
        <f t="shared" si="19"/>
        <v>15194.828548224001</v>
      </c>
      <c r="M341" s="7" t="s">
        <v>1264</v>
      </c>
      <c r="N341" s="69"/>
      <c r="O341" s="69"/>
      <c r="P341" s="69"/>
      <c r="Q341" s="69"/>
      <c r="U341" s="108">
        <v>48092</v>
      </c>
      <c r="V341" t="s">
        <v>1165</v>
      </c>
      <c r="W341" s="6" t="s">
        <v>1360</v>
      </c>
    </row>
    <row r="342" spans="11:23" x14ac:dyDescent="0.2">
      <c r="K342" t="s">
        <v>167</v>
      </c>
      <c r="L342" s="69">
        <v>12141.67</v>
      </c>
      <c r="M342" s="69" t="s">
        <v>1058</v>
      </c>
      <c r="U342" s="108">
        <v>48122</v>
      </c>
      <c r="V342" t="s">
        <v>1101</v>
      </c>
      <c r="W342" s="6" t="s">
        <v>1267</v>
      </c>
    </row>
    <row r="343" spans="11:23" x14ac:dyDescent="0.2">
      <c r="K343" t="s">
        <v>167</v>
      </c>
      <c r="L343" s="69">
        <v>12566.67</v>
      </c>
      <c r="M343" s="69" t="s">
        <v>1059</v>
      </c>
      <c r="N343" s="69"/>
      <c r="O343" s="69"/>
      <c r="P343" s="69"/>
      <c r="Q343" s="69"/>
      <c r="U343" s="108">
        <v>48122</v>
      </c>
      <c r="V343" t="s">
        <v>1100</v>
      </c>
      <c r="W343" s="6" t="s">
        <v>1360</v>
      </c>
    </row>
    <row r="344" spans="11:23" x14ac:dyDescent="0.2">
      <c r="K344" t="s">
        <v>167</v>
      </c>
      <c r="L344" s="69">
        <f>L343*1.035</f>
        <v>13006.503449999998</v>
      </c>
      <c r="M344" s="69" t="s">
        <v>1060</v>
      </c>
      <c r="N344" s="69"/>
      <c r="O344" s="69"/>
      <c r="P344" s="69"/>
      <c r="Q344" s="69"/>
      <c r="U344" s="108">
        <v>48122</v>
      </c>
      <c r="V344" t="s">
        <v>132</v>
      </c>
      <c r="W344" s="6" t="s">
        <v>1360</v>
      </c>
    </row>
    <row r="345" spans="11:23" x14ac:dyDescent="0.2">
      <c r="K345" t="s">
        <v>167</v>
      </c>
      <c r="L345" s="69">
        <f>L344*1.035</f>
        <v>13461.731070749996</v>
      </c>
      <c r="M345" s="69" t="s">
        <v>1061</v>
      </c>
      <c r="N345" s="69"/>
      <c r="O345" s="69"/>
      <c r="P345" s="69"/>
      <c r="Q345" s="69"/>
      <c r="U345" s="108">
        <v>48153</v>
      </c>
      <c r="V345" t="s">
        <v>1162</v>
      </c>
      <c r="W345" s="6" t="s">
        <v>1267</v>
      </c>
    </row>
    <row r="346" spans="11:23" x14ac:dyDescent="0.2">
      <c r="K346" t="s">
        <v>167</v>
      </c>
      <c r="L346" s="69">
        <f>L345*1.04</f>
        <v>14000.200313579997</v>
      </c>
      <c r="M346" s="69" t="s">
        <v>1062</v>
      </c>
      <c r="N346" s="69"/>
      <c r="O346" s="69"/>
      <c r="P346" s="69"/>
      <c r="Q346" s="69"/>
      <c r="U346" s="108">
        <v>48153</v>
      </c>
      <c r="V346" t="s">
        <v>1100</v>
      </c>
      <c r="W346" s="6" t="s">
        <v>1360</v>
      </c>
    </row>
    <row r="347" spans="11:23" x14ac:dyDescent="0.2">
      <c r="K347" t="s">
        <v>167</v>
      </c>
      <c r="L347" s="69">
        <f t="shared" ref="L347:L349" si="20">L346*1.04</f>
        <v>14560.208326123196</v>
      </c>
      <c r="M347" s="69" t="s">
        <v>1115</v>
      </c>
      <c r="N347" s="69"/>
      <c r="O347" s="69"/>
      <c r="P347" s="69"/>
      <c r="Q347" s="69"/>
      <c r="U347" s="108">
        <v>48153</v>
      </c>
      <c r="V347" t="s">
        <v>142</v>
      </c>
      <c r="W347" s="6" t="s">
        <v>1361</v>
      </c>
    </row>
    <row r="348" spans="11:23" x14ac:dyDescent="0.2">
      <c r="K348" t="s">
        <v>167</v>
      </c>
      <c r="L348" s="69">
        <f t="shared" si="20"/>
        <v>15142.616659168125</v>
      </c>
      <c r="M348" s="69" t="s">
        <v>1132</v>
      </c>
      <c r="N348" s="69"/>
      <c r="O348" s="69"/>
      <c r="P348" s="69"/>
      <c r="Q348" s="69"/>
      <c r="U348" s="108">
        <v>48183</v>
      </c>
      <c r="V348" t="s">
        <v>1163</v>
      </c>
      <c r="W348" s="6" t="s">
        <v>1267</v>
      </c>
    </row>
    <row r="349" spans="11:23" x14ac:dyDescent="0.2">
      <c r="K349" t="s">
        <v>167</v>
      </c>
      <c r="L349" s="69">
        <f t="shared" si="20"/>
        <v>15748.321325534851</v>
      </c>
      <c r="M349" s="7" t="s">
        <v>1264</v>
      </c>
      <c r="N349" s="69"/>
      <c r="O349" s="69"/>
      <c r="P349" s="69"/>
      <c r="Q349" s="69"/>
      <c r="U349" s="108">
        <v>48183</v>
      </c>
      <c r="V349" t="s">
        <v>1100</v>
      </c>
      <c r="W349" s="6" t="s">
        <v>1360</v>
      </c>
    </row>
    <row r="350" spans="11:23" x14ac:dyDescent="0.2">
      <c r="K350" t="s">
        <v>168</v>
      </c>
      <c r="L350" s="69">
        <v>12625</v>
      </c>
      <c r="M350" s="69" t="s">
        <v>1058</v>
      </c>
      <c r="U350" s="108">
        <v>48183</v>
      </c>
      <c r="V350" t="s">
        <v>143</v>
      </c>
      <c r="W350" s="6" t="s">
        <v>1361</v>
      </c>
    </row>
    <row r="351" spans="11:23" x14ac:dyDescent="0.2">
      <c r="K351" t="s">
        <v>168</v>
      </c>
      <c r="L351" s="69">
        <v>13075</v>
      </c>
      <c r="M351" s="69" t="s">
        <v>1059</v>
      </c>
      <c r="N351" s="69"/>
      <c r="O351" s="69"/>
      <c r="P351" s="69"/>
      <c r="Q351" s="69"/>
    </row>
    <row r="352" spans="11:23" x14ac:dyDescent="0.2">
      <c r="K352" t="s">
        <v>168</v>
      </c>
      <c r="L352" s="69">
        <f>L351*1.035</f>
        <v>13532.624999999998</v>
      </c>
      <c r="M352" s="69" t="s">
        <v>1060</v>
      </c>
      <c r="N352" s="69"/>
      <c r="O352" s="69"/>
      <c r="P352" s="69"/>
      <c r="Q352" s="69"/>
    </row>
    <row r="353" spans="11:17" x14ac:dyDescent="0.2">
      <c r="K353" t="s">
        <v>168</v>
      </c>
      <c r="L353" s="69">
        <f>L352*1.035</f>
        <v>14006.266874999998</v>
      </c>
      <c r="M353" s="69" t="s">
        <v>1061</v>
      </c>
      <c r="N353" s="69"/>
      <c r="O353" s="69"/>
      <c r="P353" s="69"/>
      <c r="Q353" s="69"/>
    </row>
    <row r="354" spans="11:17" x14ac:dyDescent="0.2">
      <c r="K354" t="s">
        <v>168</v>
      </c>
      <c r="L354" s="69">
        <f>L353*1.04</f>
        <v>14566.517549999999</v>
      </c>
      <c r="M354" s="69" t="s">
        <v>1062</v>
      </c>
      <c r="N354" s="69"/>
      <c r="O354" s="69"/>
      <c r="P354" s="69"/>
      <c r="Q354" s="69"/>
    </row>
    <row r="355" spans="11:17" x14ac:dyDescent="0.2">
      <c r="K355" t="s">
        <v>168</v>
      </c>
      <c r="L355" s="69">
        <f t="shared" ref="L355:L357" si="21">L354*1.04</f>
        <v>15149.178252</v>
      </c>
      <c r="M355" s="69" t="s">
        <v>1115</v>
      </c>
      <c r="N355" s="69"/>
      <c r="O355" s="69"/>
      <c r="P355" s="69"/>
      <c r="Q355" s="69"/>
    </row>
    <row r="356" spans="11:17" x14ac:dyDescent="0.2">
      <c r="K356" t="s">
        <v>168</v>
      </c>
      <c r="L356" s="69">
        <f t="shared" si="21"/>
        <v>15755.14538208</v>
      </c>
      <c r="M356" s="69" t="s">
        <v>1132</v>
      </c>
      <c r="N356" s="69"/>
      <c r="O356" s="69"/>
      <c r="P356" s="69"/>
      <c r="Q356" s="69"/>
    </row>
    <row r="357" spans="11:17" x14ac:dyDescent="0.2">
      <c r="K357" t="s">
        <v>168</v>
      </c>
      <c r="L357" s="69">
        <f t="shared" si="21"/>
        <v>16385.351197363201</v>
      </c>
      <c r="M357" s="7" t="s">
        <v>1264</v>
      </c>
      <c r="N357" s="69"/>
      <c r="O357" s="69"/>
      <c r="P357" s="69"/>
      <c r="Q357" s="69"/>
    </row>
    <row r="358" spans="11:17" x14ac:dyDescent="0.2">
      <c r="K358" t="s">
        <v>169</v>
      </c>
      <c r="L358" s="69">
        <v>13075</v>
      </c>
      <c r="M358" s="69" t="s">
        <v>1058</v>
      </c>
    </row>
    <row r="359" spans="11:17" x14ac:dyDescent="0.2">
      <c r="K359" t="s">
        <v>169</v>
      </c>
      <c r="L359" s="69">
        <v>13533.33</v>
      </c>
      <c r="M359" s="69" t="s">
        <v>1059</v>
      </c>
      <c r="N359" s="69"/>
      <c r="O359" s="69"/>
      <c r="P359" s="69"/>
      <c r="Q359" s="69"/>
    </row>
    <row r="360" spans="11:17" x14ac:dyDescent="0.2">
      <c r="K360" t="s">
        <v>169</v>
      </c>
      <c r="L360" s="69">
        <f>L359*1.035</f>
        <v>14006.996549999998</v>
      </c>
      <c r="M360" s="69" t="s">
        <v>1060</v>
      </c>
      <c r="N360" s="69"/>
      <c r="O360" s="69"/>
      <c r="P360" s="69"/>
      <c r="Q360" s="69"/>
    </row>
    <row r="361" spans="11:17" x14ac:dyDescent="0.2">
      <c r="K361" t="s">
        <v>169</v>
      </c>
      <c r="L361" s="69">
        <f>L360*1.035</f>
        <v>14497.241429249996</v>
      </c>
      <c r="M361" s="69" t="s">
        <v>1061</v>
      </c>
      <c r="N361" s="69"/>
      <c r="O361" s="69"/>
      <c r="P361" s="69"/>
      <c r="Q361" s="69"/>
    </row>
    <row r="362" spans="11:17" x14ac:dyDescent="0.2">
      <c r="K362" t="s">
        <v>169</v>
      </c>
      <c r="L362" s="69">
        <f>L361*1.04</f>
        <v>15077.131086419997</v>
      </c>
      <c r="M362" s="69" t="s">
        <v>1062</v>
      </c>
      <c r="N362" s="69"/>
      <c r="O362" s="69"/>
      <c r="P362" s="69"/>
      <c r="Q362" s="69"/>
    </row>
    <row r="363" spans="11:17" x14ac:dyDescent="0.2">
      <c r="K363" t="s">
        <v>169</v>
      </c>
      <c r="L363" s="69">
        <f t="shared" ref="L363:L365" si="22">L362*1.04</f>
        <v>15680.216329876797</v>
      </c>
      <c r="M363" s="69" t="s">
        <v>1115</v>
      </c>
      <c r="N363" s="69"/>
      <c r="O363" s="69"/>
      <c r="P363" s="69"/>
      <c r="Q363" s="69"/>
    </row>
    <row r="364" spans="11:17" x14ac:dyDescent="0.2">
      <c r="K364" t="s">
        <v>169</v>
      </c>
      <c r="L364" s="69">
        <f t="shared" si="22"/>
        <v>16307.424983071869</v>
      </c>
      <c r="M364" s="69" t="s">
        <v>1132</v>
      </c>
      <c r="N364" s="69"/>
      <c r="O364" s="69"/>
      <c r="P364" s="69"/>
      <c r="Q364" s="69"/>
    </row>
    <row r="365" spans="11:17" x14ac:dyDescent="0.2">
      <c r="K365" t="s">
        <v>169</v>
      </c>
      <c r="L365" s="69">
        <f t="shared" si="22"/>
        <v>16959.721982394745</v>
      </c>
      <c r="M365" s="7" t="s">
        <v>1264</v>
      </c>
      <c r="N365" s="69"/>
      <c r="O365" s="69"/>
      <c r="P365" s="69"/>
      <c r="Q365" s="69"/>
    </row>
    <row r="366" spans="11:17" x14ac:dyDescent="0.2">
      <c r="K366" t="s">
        <v>170</v>
      </c>
      <c r="L366" s="69">
        <v>13550</v>
      </c>
      <c r="M366" s="69" t="s">
        <v>1058</v>
      </c>
    </row>
    <row r="367" spans="11:17" x14ac:dyDescent="0.2">
      <c r="K367" t="s">
        <v>170</v>
      </c>
      <c r="L367" s="69">
        <v>14025</v>
      </c>
      <c r="M367" s="69" t="s">
        <v>1059</v>
      </c>
      <c r="N367" s="69"/>
      <c r="O367" s="69"/>
      <c r="P367" s="69"/>
      <c r="Q367" s="69"/>
    </row>
    <row r="368" spans="11:17" x14ac:dyDescent="0.2">
      <c r="K368" t="s">
        <v>170</v>
      </c>
      <c r="L368" s="69">
        <f>L367*1.035</f>
        <v>14515.874999999998</v>
      </c>
      <c r="M368" s="69" t="s">
        <v>1060</v>
      </c>
      <c r="N368" s="69"/>
      <c r="O368" s="69"/>
      <c r="P368" s="69"/>
      <c r="Q368" s="69"/>
    </row>
    <row r="369" spans="11:17" x14ac:dyDescent="0.2">
      <c r="K369" t="s">
        <v>170</v>
      </c>
      <c r="L369" s="69">
        <f>L368*1.035</f>
        <v>15023.930624999997</v>
      </c>
      <c r="M369" s="69" t="s">
        <v>1061</v>
      </c>
      <c r="N369" s="69"/>
      <c r="O369" s="69"/>
      <c r="P369" s="69"/>
      <c r="Q369" s="69"/>
    </row>
    <row r="370" spans="11:17" x14ac:dyDescent="0.2">
      <c r="K370" t="s">
        <v>170</v>
      </c>
      <c r="L370" s="69">
        <f>L369*1.04</f>
        <v>15624.887849999997</v>
      </c>
      <c r="M370" s="69" t="s">
        <v>1062</v>
      </c>
      <c r="N370" s="69"/>
      <c r="O370" s="69"/>
      <c r="P370" s="69"/>
      <c r="Q370" s="69"/>
    </row>
    <row r="371" spans="11:17" x14ac:dyDescent="0.2">
      <c r="K371" t="s">
        <v>170</v>
      </c>
      <c r="L371" s="69">
        <f t="shared" ref="L371:L373" si="23">L370*1.04</f>
        <v>16249.883363999998</v>
      </c>
      <c r="M371" s="69" t="s">
        <v>1115</v>
      </c>
      <c r="N371" s="69"/>
      <c r="O371" s="69"/>
      <c r="P371" s="69"/>
      <c r="Q371" s="69"/>
    </row>
    <row r="372" spans="11:17" x14ac:dyDescent="0.2">
      <c r="K372" t="s">
        <v>170</v>
      </c>
      <c r="L372" s="69">
        <f t="shared" si="23"/>
        <v>16899.878698559998</v>
      </c>
      <c r="M372" s="69" t="s">
        <v>1132</v>
      </c>
      <c r="N372" s="69"/>
      <c r="O372" s="69"/>
      <c r="P372" s="69"/>
      <c r="Q372" s="69"/>
    </row>
    <row r="373" spans="11:17" x14ac:dyDescent="0.2">
      <c r="K373" t="s">
        <v>170</v>
      </c>
      <c r="L373" s="69">
        <f t="shared" si="23"/>
        <v>17575.8738465024</v>
      </c>
      <c r="M373" s="7" t="s">
        <v>1264</v>
      </c>
      <c r="N373" s="69"/>
      <c r="O373" s="69"/>
      <c r="P373" s="69"/>
      <c r="Q373" s="69"/>
    </row>
    <row r="374" spans="11:17" x14ac:dyDescent="0.2">
      <c r="K374" t="s">
        <v>171</v>
      </c>
      <c r="L374" s="69">
        <v>13083.33</v>
      </c>
      <c r="M374" s="69" t="s">
        <v>1058</v>
      </c>
    </row>
    <row r="375" spans="11:17" x14ac:dyDescent="0.2">
      <c r="K375" t="s">
        <v>171</v>
      </c>
      <c r="L375" s="69">
        <v>13541.67</v>
      </c>
      <c r="M375" s="69" t="s">
        <v>1059</v>
      </c>
      <c r="N375" s="69"/>
      <c r="O375" s="69"/>
      <c r="P375" s="69"/>
      <c r="Q375" s="69"/>
    </row>
    <row r="376" spans="11:17" x14ac:dyDescent="0.2">
      <c r="K376" t="s">
        <v>171</v>
      </c>
      <c r="L376" s="69">
        <f>L375*1.035</f>
        <v>14015.628449999998</v>
      </c>
      <c r="M376" s="69" t="s">
        <v>1060</v>
      </c>
      <c r="N376" s="69"/>
      <c r="O376" s="69"/>
      <c r="P376" s="69"/>
      <c r="Q376" s="69"/>
    </row>
    <row r="377" spans="11:17" x14ac:dyDescent="0.2">
      <c r="K377" t="s">
        <v>171</v>
      </c>
      <c r="L377" s="69">
        <f>L376*1.035</f>
        <v>14506.175445749997</v>
      </c>
      <c r="M377" s="69" t="s">
        <v>1061</v>
      </c>
      <c r="N377" s="69"/>
      <c r="O377" s="69"/>
      <c r="P377" s="69"/>
      <c r="Q377" s="69"/>
    </row>
    <row r="378" spans="11:17" x14ac:dyDescent="0.2">
      <c r="K378" t="s">
        <v>171</v>
      </c>
      <c r="L378" s="69">
        <f>L377*1.04</f>
        <v>15086.422463579998</v>
      </c>
      <c r="M378" s="69" t="s">
        <v>1062</v>
      </c>
      <c r="N378" s="69"/>
      <c r="O378" s="69"/>
      <c r="P378" s="69"/>
      <c r="Q378" s="69"/>
    </row>
    <row r="379" spans="11:17" x14ac:dyDescent="0.2">
      <c r="K379" t="s">
        <v>171</v>
      </c>
      <c r="L379" s="69">
        <f t="shared" ref="L379:L381" si="24">L378*1.04</f>
        <v>15689.879362123198</v>
      </c>
      <c r="M379" s="69" t="s">
        <v>1115</v>
      </c>
      <c r="N379" s="69"/>
      <c r="O379" s="69"/>
      <c r="P379" s="69"/>
      <c r="Q379" s="69"/>
    </row>
    <row r="380" spans="11:17" x14ac:dyDescent="0.2">
      <c r="K380" t="s">
        <v>171</v>
      </c>
      <c r="L380" s="69">
        <f t="shared" si="24"/>
        <v>16317.474536608126</v>
      </c>
      <c r="M380" s="69" t="s">
        <v>1132</v>
      </c>
      <c r="N380" s="69"/>
      <c r="O380" s="69"/>
      <c r="P380" s="69"/>
      <c r="Q380" s="69"/>
    </row>
    <row r="381" spans="11:17" x14ac:dyDescent="0.2">
      <c r="K381" t="s">
        <v>171</v>
      </c>
      <c r="L381" s="69">
        <f t="shared" si="24"/>
        <v>16970.17351807245</v>
      </c>
      <c r="M381" s="7" t="s">
        <v>1264</v>
      </c>
      <c r="N381" s="69"/>
      <c r="O381" s="69"/>
      <c r="P381" s="69"/>
      <c r="Q381" s="69"/>
    </row>
    <row r="382" spans="11:17" x14ac:dyDescent="0.2">
      <c r="K382" t="s">
        <v>172</v>
      </c>
      <c r="L382" s="69">
        <v>13558.33</v>
      </c>
      <c r="M382" s="69" t="s">
        <v>1058</v>
      </c>
    </row>
    <row r="383" spans="11:17" x14ac:dyDescent="0.2">
      <c r="K383" t="s">
        <v>172</v>
      </c>
      <c r="L383" s="69">
        <v>14033.33</v>
      </c>
      <c r="M383" s="69" t="s">
        <v>1059</v>
      </c>
      <c r="N383" s="69"/>
      <c r="O383" s="69"/>
      <c r="P383" s="69"/>
      <c r="Q383" s="69"/>
    </row>
    <row r="384" spans="11:17" x14ac:dyDescent="0.2">
      <c r="K384" t="s">
        <v>172</v>
      </c>
      <c r="L384" s="69">
        <f>L383*1.035</f>
        <v>14524.496549999998</v>
      </c>
      <c r="M384" s="69" t="s">
        <v>1060</v>
      </c>
      <c r="N384" s="69"/>
      <c r="O384" s="69"/>
      <c r="P384" s="69"/>
      <c r="Q384" s="69"/>
    </row>
    <row r="385" spans="11:17" x14ac:dyDescent="0.2">
      <c r="K385" t="s">
        <v>172</v>
      </c>
      <c r="L385" s="69">
        <f>L384*1.035</f>
        <v>15032.853929249997</v>
      </c>
      <c r="M385" s="69" t="s">
        <v>1061</v>
      </c>
      <c r="N385" s="69"/>
      <c r="O385" s="69"/>
      <c r="P385" s="69"/>
      <c r="Q385" s="69"/>
    </row>
    <row r="386" spans="11:17" x14ac:dyDescent="0.2">
      <c r="K386" t="s">
        <v>172</v>
      </c>
      <c r="L386" s="69">
        <f>L385*1.04</f>
        <v>15634.168086419997</v>
      </c>
      <c r="M386" s="69" t="s">
        <v>1062</v>
      </c>
      <c r="N386" s="69"/>
      <c r="O386" s="69"/>
      <c r="P386" s="69"/>
      <c r="Q386" s="69"/>
    </row>
    <row r="387" spans="11:17" x14ac:dyDescent="0.2">
      <c r="K387" t="s">
        <v>172</v>
      </c>
      <c r="L387" s="69">
        <f t="shared" ref="L387:L389" si="25">L386*1.04</f>
        <v>16259.534809876797</v>
      </c>
      <c r="M387" s="69" t="s">
        <v>1115</v>
      </c>
      <c r="N387" s="69"/>
      <c r="O387" s="69"/>
      <c r="P387" s="69"/>
      <c r="Q387" s="69"/>
    </row>
    <row r="388" spans="11:17" x14ac:dyDescent="0.2">
      <c r="K388" t="s">
        <v>172</v>
      </c>
      <c r="L388" s="69">
        <f t="shared" si="25"/>
        <v>16909.91620227187</v>
      </c>
      <c r="M388" s="69" t="s">
        <v>1132</v>
      </c>
      <c r="N388" s="69"/>
      <c r="O388" s="69"/>
      <c r="P388" s="69"/>
      <c r="Q388" s="69"/>
    </row>
    <row r="389" spans="11:17" x14ac:dyDescent="0.2">
      <c r="K389" t="s">
        <v>172</v>
      </c>
      <c r="L389" s="69">
        <f t="shared" si="25"/>
        <v>17586.312850362745</v>
      </c>
      <c r="M389" s="7" t="s">
        <v>1264</v>
      </c>
      <c r="N389" s="69"/>
      <c r="O389" s="69"/>
      <c r="P389" s="69"/>
      <c r="Q389" s="69"/>
    </row>
    <row r="390" spans="11:17" x14ac:dyDescent="0.2">
      <c r="K390" t="s">
        <v>174</v>
      </c>
      <c r="L390" s="69">
        <v>14250</v>
      </c>
      <c r="M390" s="69" t="s">
        <v>1058</v>
      </c>
    </row>
    <row r="391" spans="11:17" x14ac:dyDescent="0.2">
      <c r="K391" t="s">
        <v>174</v>
      </c>
      <c r="L391" s="69">
        <v>14750</v>
      </c>
      <c r="M391" s="69" t="s">
        <v>1059</v>
      </c>
      <c r="N391" s="69"/>
      <c r="O391" s="69"/>
      <c r="P391" s="69"/>
      <c r="Q391" s="69"/>
    </row>
    <row r="392" spans="11:17" x14ac:dyDescent="0.2">
      <c r="K392" t="s">
        <v>174</v>
      </c>
      <c r="L392" s="69">
        <f>L391*1.035</f>
        <v>15266.249999999998</v>
      </c>
      <c r="M392" s="69" t="s">
        <v>1060</v>
      </c>
      <c r="N392" s="69"/>
      <c r="O392" s="69"/>
      <c r="P392" s="69"/>
      <c r="Q392" s="69"/>
    </row>
    <row r="393" spans="11:17" x14ac:dyDescent="0.2">
      <c r="K393" t="s">
        <v>174</v>
      </c>
      <c r="L393" s="69">
        <f>L392*1.035</f>
        <v>15800.568749999997</v>
      </c>
      <c r="M393" s="69" t="s">
        <v>1061</v>
      </c>
      <c r="N393" s="69"/>
      <c r="O393" s="69"/>
      <c r="P393" s="69"/>
      <c r="Q393" s="69"/>
    </row>
    <row r="394" spans="11:17" x14ac:dyDescent="0.2">
      <c r="K394" t="s">
        <v>174</v>
      </c>
      <c r="L394" s="69">
        <f>L393*1.04</f>
        <v>16432.591499999999</v>
      </c>
      <c r="M394" s="69" t="s">
        <v>1062</v>
      </c>
      <c r="N394" s="69"/>
      <c r="O394" s="69"/>
      <c r="P394" s="69"/>
      <c r="Q394" s="69"/>
    </row>
    <row r="395" spans="11:17" x14ac:dyDescent="0.2">
      <c r="K395" t="s">
        <v>174</v>
      </c>
      <c r="L395" s="69">
        <f t="shared" ref="L395:L397" si="26">L394*1.04</f>
        <v>17089.89516</v>
      </c>
      <c r="M395" s="69" t="s">
        <v>1115</v>
      </c>
      <c r="N395" s="69"/>
      <c r="O395" s="69"/>
      <c r="P395" s="69"/>
      <c r="Q395" s="69"/>
    </row>
    <row r="396" spans="11:17" x14ac:dyDescent="0.2">
      <c r="K396" t="s">
        <v>174</v>
      </c>
      <c r="L396" s="69">
        <f t="shared" si="26"/>
        <v>17773.490966400001</v>
      </c>
      <c r="M396" s="69" t="s">
        <v>1132</v>
      </c>
      <c r="N396" s="69"/>
      <c r="O396" s="69"/>
      <c r="P396" s="69"/>
      <c r="Q396" s="69"/>
    </row>
    <row r="397" spans="11:17" x14ac:dyDescent="0.2">
      <c r="K397" t="s">
        <v>174</v>
      </c>
      <c r="L397" s="69">
        <f t="shared" si="26"/>
        <v>18484.430605056001</v>
      </c>
      <c r="M397" s="7" t="s">
        <v>1264</v>
      </c>
      <c r="N397" s="69"/>
      <c r="O397" s="69"/>
      <c r="P397" s="69"/>
      <c r="Q397" s="69"/>
    </row>
    <row r="398" spans="11:17" x14ac:dyDescent="0.2">
      <c r="K398" t="s">
        <v>175</v>
      </c>
      <c r="L398" s="69">
        <v>15058.33</v>
      </c>
      <c r="M398" s="69" t="s">
        <v>1058</v>
      </c>
    </row>
    <row r="399" spans="11:17" x14ac:dyDescent="0.2">
      <c r="K399" t="s">
        <v>175</v>
      </c>
      <c r="L399" s="69">
        <v>15591.67</v>
      </c>
      <c r="M399" s="69" t="s">
        <v>1059</v>
      </c>
      <c r="N399" s="69"/>
      <c r="O399" s="69"/>
      <c r="P399" s="69"/>
      <c r="Q399" s="69"/>
    </row>
    <row r="400" spans="11:17" x14ac:dyDescent="0.2">
      <c r="K400" t="s">
        <v>175</v>
      </c>
      <c r="L400" s="69">
        <f>L399*1.035</f>
        <v>16137.378449999998</v>
      </c>
      <c r="M400" s="69" t="s">
        <v>1060</v>
      </c>
      <c r="N400" s="69"/>
      <c r="O400" s="69"/>
      <c r="P400" s="69"/>
      <c r="Q400" s="69"/>
    </row>
    <row r="401" spans="11:17" x14ac:dyDescent="0.2">
      <c r="K401" t="s">
        <v>175</v>
      </c>
      <c r="L401" s="69">
        <f>L400*1.035</f>
        <v>16702.186695749999</v>
      </c>
      <c r="M401" s="69" t="s">
        <v>1061</v>
      </c>
      <c r="N401" s="69"/>
      <c r="O401" s="69"/>
      <c r="P401" s="69"/>
      <c r="Q401" s="69"/>
    </row>
    <row r="402" spans="11:17" x14ac:dyDescent="0.2">
      <c r="K402" t="s">
        <v>175</v>
      </c>
      <c r="L402" s="69">
        <f>L401*1.04</f>
        <v>17370.274163579998</v>
      </c>
      <c r="M402" s="69" t="s">
        <v>1062</v>
      </c>
      <c r="N402" s="69"/>
      <c r="O402" s="69"/>
      <c r="P402" s="69"/>
      <c r="Q402" s="69"/>
    </row>
    <row r="403" spans="11:17" x14ac:dyDescent="0.2">
      <c r="K403" t="s">
        <v>175</v>
      </c>
      <c r="L403" s="69">
        <f t="shared" ref="L403:L405" si="27">L402*1.04</f>
        <v>18065.0851301232</v>
      </c>
      <c r="M403" s="69" t="s">
        <v>1115</v>
      </c>
      <c r="N403" s="69"/>
      <c r="O403" s="69"/>
      <c r="P403" s="69"/>
      <c r="Q403" s="69"/>
    </row>
    <row r="404" spans="11:17" x14ac:dyDescent="0.2">
      <c r="K404" t="s">
        <v>175</v>
      </c>
      <c r="L404" s="69">
        <f t="shared" si="27"/>
        <v>18787.688535328129</v>
      </c>
      <c r="M404" s="69" t="s">
        <v>1132</v>
      </c>
      <c r="N404" s="69"/>
      <c r="O404" s="69"/>
      <c r="P404" s="69"/>
      <c r="Q404" s="69"/>
    </row>
    <row r="405" spans="11:17" x14ac:dyDescent="0.2">
      <c r="K405" t="s">
        <v>175</v>
      </c>
      <c r="L405" s="69">
        <f t="shared" si="27"/>
        <v>19539.196076741253</v>
      </c>
      <c r="M405" s="7" t="s">
        <v>1264</v>
      </c>
      <c r="N405" s="69"/>
      <c r="O405" s="69"/>
      <c r="P405" s="69"/>
      <c r="Q405" s="69"/>
    </row>
    <row r="406" spans="11:17" x14ac:dyDescent="0.2">
      <c r="K406" t="s">
        <v>176</v>
      </c>
      <c r="L406" s="69">
        <v>15916.67</v>
      </c>
      <c r="M406" s="69" t="s">
        <v>1058</v>
      </c>
    </row>
    <row r="407" spans="11:17" x14ac:dyDescent="0.2">
      <c r="K407" t="s">
        <v>176</v>
      </c>
      <c r="L407" s="69">
        <v>16475</v>
      </c>
      <c r="M407" s="69" t="s">
        <v>1059</v>
      </c>
      <c r="N407" s="69"/>
      <c r="O407" s="69"/>
      <c r="P407" s="69"/>
      <c r="Q407" s="69"/>
    </row>
    <row r="408" spans="11:17" x14ac:dyDescent="0.2">
      <c r="K408" t="s">
        <v>176</v>
      </c>
      <c r="L408" s="69">
        <f>L407*1.035</f>
        <v>17051.625</v>
      </c>
      <c r="M408" s="69" t="s">
        <v>1060</v>
      </c>
      <c r="N408" s="69"/>
      <c r="O408" s="69"/>
      <c r="P408" s="69"/>
      <c r="Q408" s="69"/>
    </row>
    <row r="409" spans="11:17" x14ac:dyDescent="0.2">
      <c r="K409" t="s">
        <v>176</v>
      </c>
      <c r="L409" s="69">
        <f>L408*1.035</f>
        <v>17648.431874999998</v>
      </c>
      <c r="M409" s="69" t="s">
        <v>1061</v>
      </c>
      <c r="N409" s="69"/>
      <c r="O409" s="69"/>
      <c r="P409" s="69"/>
      <c r="Q409" s="69"/>
    </row>
    <row r="410" spans="11:17" x14ac:dyDescent="0.2">
      <c r="K410" t="s">
        <v>176</v>
      </c>
      <c r="L410" s="69">
        <f>L409*1.04</f>
        <v>18354.369149999999</v>
      </c>
      <c r="M410" s="69" t="s">
        <v>1062</v>
      </c>
      <c r="N410" s="69"/>
      <c r="O410" s="69"/>
      <c r="P410" s="69"/>
      <c r="Q410" s="69"/>
    </row>
    <row r="411" spans="11:17" x14ac:dyDescent="0.2">
      <c r="K411" t="s">
        <v>176</v>
      </c>
      <c r="L411" s="69">
        <f t="shared" ref="L411:L413" si="28">L410*1.04</f>
        <v>19088.543915999999</v>
      </c>
      <c r="M411" s="69" t="s">
        <v>1115</v>
      </c>
      <c r="N411" s="69"/>
      <c r="O411" s="69"/>
      <c r="P411" s="69"/>
      <c r="Q411" s="69"/>
    </row>
    <row r="412" spans="11:17" x14ac:dyDescent="0.2">
      <c r="K412" t="s">
        <v>176</v>
      </c>
      <c r="L412" s="69">
        <f t="shared" si="28"/>
        <v>19852.085672639998</v>
      </c>
      <c r="M412" s="69" t="s">
        <v>1132</v>
      </c>
      <c r="N412" s="69"/>
      <c r="O412" s="69"/>
      <c r="P412" s="69"/>
      <c r="Q412" s="69"/>
    </row>
    <row r="413" spans="11:17" x14ac:dyDescent="0.2">
      <c r="K413" t="s">
        <v>176</v>
      </c>
      <c r="L413" s="69">
        <f t="shared" si="28"/>
        <v>20646.169099545597</v>
      </c>
      <c r="M413" s="7" t="s">
        <v>1264</v>
      </c>
      <c r="N413" s="69"/>
      <c r="O413" s="69"/>
      <c r="P413" s="69"/>
      <c r="Q413" s="69"/>
    </row>
    <row r="414" spans="11:17" x14ac:dyDescent="0.2">
      <c r="K414" t="s">
        <v>173</v>
      </c>
      <c r="L414" s="69">
        <v>17075</v>
      </c>
      <c r="M414" s="69" t="s">
        <v>1058</v>
      </c>
    </row>
    <row r="415" spans="11:17" x14ac:dyDescent="0.2">
      <c r="K415" t="s">
        <v>173</v>
      </c>
      <c r="L415" s="69">
        <v>17675</v>
      </c>
      <c r="M415" s="69" t="s">
        <v>1059</v>
      </c>
      <c r="N415" s="69"/>
      <c r="O415" s="69"/>
      <c r="P415" s="69"/>
      <c r="Q415" s="69"/>
    </row>
    <row r="416" spans="11:17" x14ac:dyDescent="0.2">
      <c r="K416" t="s">
        <v>173</v>
      </c>
      <c r="L416" s="69">
        <f>L415*1.035</f>
        <v>18293.625</v>
      </c>
      <c r="M416" s="69" t="s">
        <v>1060</v>
      </c>
      <c r="N416" s="69"/>
      <c r="O416" s="69"/>
      <c r="P416" s="69"/>
      <c r="Q416" s="69"/>
    </row>
    <row r="417" spans="11:17" x14ac:dyDescent="0.2">
      <c r="K417" t="s">
        <v>173</v>
      </c>
      <c r="L417" s="69">
        <f>L416*1.035</f>
        <v>18933.901875</v>
      </c>
      <c r="M417" s="69" t="s">
        <v>1061</v>
      </c>
      <c r="N417" s="69"/>
      <c r="O417" s="69"/>
      <c r="P417" s="69"/>
      <c r="Q417" s="69"/>
    </row>
    <row r="418" spans="11:17" x14ac:dyDescent="0.2">
      <c r="K418" t="s">
        <v>173</v>
      </c>
      <c r="L418" s="69">
        <f>L417*1.04</f>
        <v>19691.257949999999</v>
      </c>
      <c r="M418" s="69" t="s">
        <v>1062</v>
      </c>
      <c r="N418" s="69"/>
      <c r="O418" s="69"/>
      <c r="P418" s="69"/>
      <c r="Q418" s="69"/>
    </row>
    <row r="419" spans="11:17" x14ac:dyDescent="0.2">
      <c r="K419" t="s">
        <v>173</v>
      </c>
      <c r="L419" s="69">
        <f t="shared" ref="L419:L421" si="29">L418*1.04</f>
        <v>20478.908267999999</v>
      </c>
      <c r="M419" s="69" t="s">
        <v>1115</v>
      </c>
      <c r="N419" s="69"/>
      <c r="O419" s="69"/>
      <c r="P419" s="69"/>
      <c r="Q419" s="69"/>
    </row>
    <row r="420" spans="11:17" x14ac:dyDescent="0.2">
      <c r="K420" t="s">
        <v>173</v>
      </c>
      <c r="L420" s="69">
        <f t="shared" si="29"/>
        <v>21298.064598720001</v>
      </c>
      <c r="M420" s="69" t="s">
        <v>1132</v>
      </c>
      <c r="N420" s="69"/>
      <c r="O420" s="69"/>
      <c r="P420" s="69"/>
      <c r="Q420" s="69"/>
    </row>
    <row r="421" spans="11:17" x14ac:dyDescent="0.2">
      <c r="K421" t="s">
        <v>173</v>
      </c>
      <c r="L421" s="69">
        <f t="shared" si="29"/>
        <v>22149.9871826688</v>
      </c>
      <c r="M421" s="7" t="s">
        <v>1264</v>
      </c>
      <c r="N421" s="69"/>
      <c r="O421" s="69"/>
      <c r="P421" s="69"/>
      <c r="Q421" s="69"/>
    </row>
    <row r="422" spans="11:17" x14ac:dyDescent="0.2">
      <c r="K422" t="s">
        <v>177</v>
      </c>
      <c r="L422" s="69">
        <v>18300</v>
      </c>
      <c r="M422" s="69" t="s">
        <v>1058</v>
      </c>
    </row>
    <row r="423" spans="11:17" x14ac:dyDescent="0.2">
      <c r="K423" t="s">
        <v>177</v>
      </c>
      <c r="L423" s="69">
        <v>18641.669999999998</v>
      </c>
      <c r="M423" s="69" t="s">
        <v>1059</v>
      </c>
      <c r="N423" s="69"/>
      <c r="O423" s="69"/>
      <c r="P423" s="69"/>
      <c r="Q423" s="69"/>
    </row>
    <row r="424" spans="11:17" x14ac:dyDescent="0.2">
      <c r="K424" t="s">
        <v>177</v>
      </c>
      <c r="L424" s="69">
        <f>L423*1.035</f>
        <v>19294.128449999997</v>
      </c>
      <c r="M424" s="69" t="s">
        <v>1060</v>
      </c>
      <c r="N424" s="69"/>
      <c r="O424" s="69"/>
      <c r="P424" s="69"/>
      <c r="Q424" s="69"/>
    </row>
    <row r="425" spans="11:17" x14ac:dyDescent="0.2">
      <c r="K425" t="s">
        <v>177</v>
      </c>
      <c r="L425" s="69">
        <f>L424*1.035</f>
        <v>19969.422945749993</v>
      </c>
      <c r="M425" s="69" t="s">
        <v>1061</v>
      </c>
      <c r="N425" s="69"/>
      <c r="O425" s="69"/>
      <c r="P425" s="69"/>
      <c r="Q425" s="69"/>
    </row>
    <row r="426" spans="11:17" x14ac:dyDescent="0.2">
      <c r="K426" t="s">
        <v>177</v>
      </c>
      <c r="L426" s="69">
        <f>L425*1.04</f>
        <v>20768.199863579994</v>
      </c>
      <c r="M426" s="69" t="s">
        <v>1062</v>
      </c>
      <c r="N426" s="69"/>
      <c r="O426" s="69"/>
      <c r="P426" s="69"/>
      <c r="Q426" s="69"/>
    </row>
    <row r="427" spans="11:17" x14ac:dyDescent="0.2">
      <c r="K427" t="s">
        <v>177</v>
      </c>
      <c r="L427" s="69">
        <f t="shared" ref="L427:L429" si="30">L426*1.04</f>
        <v>21598.927858123196</v>
      </c>
      <c r="M427" s="69" t="s">
        <v>1115</v>
      </c>
      <c r="N427" s="69"/>
      <c r="O427" s="69"/>
      <c r="P427" s="69"/>
      <c r="Q427" s="69"/>
    </row>
    <row r="428" spans="11:17" x14ac:dyDescent="0.2">
      <c r="K428" t="s">
        <v>177</v>
      </c>
      <c r="L428" s="69">
        <f t="shared" si="30"/>
        <v>22462.884972448122</v>
      </c>
      <c r="M428" s="69" t="s">
        <v>1132</v>
      </c>
      <c r="N428" s="69"/>
      <c r="O428" s="69"/>
      <c r="P428" s="69"/>
      <c r="Q428" s="69"/>
    </row>
    <row r="429" spans="11:17" x14ac:dyDescent="0.2">
      <c r="K429" t="s">
        <v>177</v>
      </c>
      <c r="L429" s="69">
        <f t="shared" si="30"/>
        <v>23361.400371346048</v>
      </c>
      <c r="M429" s="7" t="s">
        <v>1264</v>
      </c>
      <c r="N429" s="69"/>
      <c r="O429" s="69"/>
      <c r="P429" s="69"/>
      <c r="Q429" s="69"/>
    </row>
    <row r="430" spans="11:17" x14ac:dyDescent="0.2">
      <c r="K430" t="s">
        <v>178</v>
      </c>
      <c r="L430" s="69">
        <v>19583.330000000002</v>
      </c>
      <c r="M430" s="69" t="s">
        <v>1058</v>
      </c>
    </row>
    <row r="431" spans="11:17" x14ac:dyDescent="0.2">
      <c r="K431" t="s">
        <v>178</v>
      </c>
      <c r="L431" s="69">
        <v>20275</v>
      </c>
      <c r="M431" s="69" t="s">
        <v>1059</v>
      </c>
      <c r="N431" s="69"/>
      <c r="O431" s="69"/>
      <c r="P431" s="69"/>
      <c r="Q431" s="69"/>
    </row>
    <row r="432" spans="11:17" x14ac:dyDescent="0.2">
      <c r="K432" t="s">
        <v>178</v>
      </c>
      <c r="L432" s="69">
        <f>L431*1.035</f>
        <v>20984.625</v>
      </c>
      <c r="M432" s="69" t="s">
        <v>1060</v>
      </c>
      <c r="N432" s="69"/>
      <c r="O432" s="69"/>
      <c r="P432" s="69"/>
      <c r="Q432" s="69"/>
    </row>
    <row r="433" spans="11:17" x14ac:dyDescent="0.2">
      <c r="K433" t="s">
        <v>178</v>
      </c>
      <c r="L433" s="69">
        <f>L432*1.035</f>
        <v>21719.086874999997</v>
      </c>
      <c r="M433" s="69" t="s">
        <v>1061</v>
      </c>
      <c r="N433" s="69"/>
      <c r="O433" s="69"/>
      <c r="P433" s="69"/>
      <c r="Q433" s="69"/>
    </row>
    <row r="434" spans="11:17" x14ac:dyDescent="0.2">
      <c r="K434" t="s">
        <v>178</v>
      </c>
      <c r="L434" s="69">
        <f>L433*1.04</f>
        <v>22587.850349999997</v>
      </c>
      <c r="M434" s="69" t="s">
        <v>1062</v>
      </c>
      <c r="N434" s="69"/>
      <c r="O434" s="69"/>
      <c r="P434" s="69"/>
      <c r="Q434" s="69"/>
    </row>
    <row r="435" spans="11:17" x14ac:dyDescent="0.2">
      <c r="K435" t="s">
        <v>178</v>
      </c>
      <c r="L435" s="69">
        <f t="shared" ref="L435:L437" si="31">L434*1.04</f>
        <v>23491.364363999997</v>
      </c>
      <c r="M435" s="69" t="s">
        <v>1115</v>
      </c>
      <c r="N435" s="69"/>
      <c r="O435" s="69"/>
      <c r="P435" s="69"/>
      <c r="Q435" s="69"/>
    </row>
    <row r="436" spans="11:17" x14ac:dyDescent="0.2">
      <c r="K436" t="s">
        <v>178</v>
      </c>
      <c r="L436" s="69">
        <f t="shared" si="31"/>
        <v>24431.018938559999</v>
      </c>
      <c r="M436" s="69" t="s">
        <v>1132</v>
      </c>
      <c r="N436" s="69"/>
      <c r="O436" s="69"/>
      <c r="P436" s="69"/>
      <c r="Q436" s="69"/>
    </row>
    <row r="437" spans="11:17" x14ac:dyDescent="0.2">
      <c r="K437" t="s">
        <v>178</v>
      </c>
      <c r="L437" s="69">
        <f t="shared" si="31"/>
        <v>25408.259696102399</v>
      </c>
      <c r="M437" s="7" t="s">
        <v>1264</v>
      </c>
      <c r="N437" s="69"/>
      <c r="O437" s="69"/>
      <c r="P437" s="69"/>
      <c r="Q437" s="69"/>
    </row>
    <row r="438" spans="11:17" x14ac:dyDescent="0.2">
      <c r="K438" t="s">
        <v>179</v>
      </c>
      <c r="L438" s="69">
        <v>21158.33</v>
      </c>
      <c r="M438" s="69" t="s">
        <v>1058</v>
      </c>
    </row>
    <row r="439" spans="11:17" x14ac:dyDescent="0.2">
      <c r="K439" t="s">
        <v>179</v>
      </c>
      <c r="L439" s="69">
        <v>21900</v>
      </c>
      <c r="M439" s="69" t="s">
        <v>1059</v>
      </c>
    </row>
    <row r="440" spans="11:17" x14ac:dyDescent="0.2">
      <c r="K440" t="s">
        <v>179</v>
      </c>
      <c r="L440" s="69">
        <f>L439*1.035</f>
        <v>22666.5</v>
      </c>
      <c r="M440" s="69" t="s">
        <v>1060</v>
      </c>
    </row>
    <row r="441" spans="11:17" x14ac:dyDescent="0.2">
      <c r="K441" t="s">
        <v>179</v>
      </c>
      <c r="L441" s="69">
        <f>L440*1.035</f>
        <v>23459.827499999999</v>
      </c>
      <c r="M441" s="69" t="s">
        <v>1061</v>
      </c>
    </row>
    <row r="442" spans="11:17" x14ac:dyDescent="0.2">
      <c r="K442" t="s">
        <v>179</v>
      </c>
      <c r="L442" s="69">
        <f>L441*1.04</f>
        <v>24398.220600000001</v>
      </c>
      <c r="M442" s="69" t="s">
        <v>1062</v>
      </c>
    </row>
    <row r="443" spans="11:17" x14ac:dyDescent="0.2">
      <c r="K443" t="s">
        <v>179</v>
      </c>
      <c r="L443" s="69">
        <f t="shared" ref="L443:L445" si="32">L442*1.04</f>
        <v>25374.149424000003</v>
      </c>
      <c r="M443" s="69" t="s">
        <v>1115</v>
      </c>
    </row>
    <row r="444" spans="11:17" x14ac:dyDescent="0.2">
      <c r="K444" t="s">
        <v>179</v>
      </c>
      <c r="L444" s="69">
        <f t="shared" si="32"/>
        <v>26389.115400960003</v>
      </c>
      <c r="M444" s="69" t="s">
        <v>1132</v>
      </c>
    </row>
    <row r="445" spans="11:17" x14ac:dyDescent="0.2">
      <c r="K445" t="s">
        <v>179</v>
      </c>
      <c r="L445" s="69">
        <f t="shared" si="32"/>
        <v>27444.680016998405</v>
      </c>
      <c r="M445" s="7" t="s">
        <v>1264</v>
      </c>
    </row>
    <row r="446" spans="11:17" x14ac:dyDescent="0.2">
      <c r="K446" t="s">
        <v>1205</v>
      </c>
      <c r="L446" s="69">
        <v>7258.33</v>
      </c>
      <c r="M446" s="69" t="s">
        <v>1058</v>
      </c>
    </row>
    <row r="447" spans="11:17" x14ac:dyDescent="0.2">
      <c r="K447" t="s">
        <v>1205</v>
      </c>
      <c r="L447" s="69">
        <v>7516.67</v>
      </c>
      <c r="M447" s="69" t="s">
        <v>1059</v>
      </c>
    </row>
    <row r="448" spans="11:17" x14ac:dyDescent="0.2">
      <c r="K448" t="s">
        <v>1205</v>
      </c>
      <c r="L448" s="69">
        <f>L447*1.035</f>
        <v>7779.7534499999992</v>
      </c>
      <c r="M448" s="69" t="s">
        <v>1060</v>
      </c>
    </row>
    <row r="449" spans="11:13" x14ac:dyDescent="0.2">
      <c r="K449" t="s">
        <v>1205</v>
      </c>
      <c r="L449" s="69">
        <f>L448*1.035</f>
        <v>8052.0448207499985</v>
      </c>
      <c r="M449" s="69" t="s">
        <v>1061</v>
      </c>
    </row>
    <row r="450" spans="11:13" x14ac:dyDescent="0.2">
      <c r="K450" t="s">
        <v>1205</v>
      </c>
      <c r="L450" s="69">
        <f>L449*1.04</f>
        <v>8374.1266135799979</v>
      </c>
      <c r="M450" s="69" t="s">
        <v>1062</v>
      </c>
    </row>
    <row r="451" spans="11:13" x14ac:dyDescent="0.2">
      <c r="K451" t="s">
        <v>1205</v>
      </c>
      <c r="L451" s="69">
        <f t="shared" ref="L451:L453" si="33">L450*1.04</f>
        <v>8709.0916781231972</v>
      </c>
      <c r="M451" s="69" t="s">
        <v>1115</v>
      </c>
    </row>
    <row r="452" spans="11:13" x14ac:dyDescent="0.2">
      <c r="K452" t="s">
        <v>1205</v>
      </c>
      <c r="L452" s="69">
        <f t="shared" si="33"/>
        <v>9057.455345248125</v>
      </c>
      <c r="M452" s="69" t="s">
        <v>1132</v>
      </c>
    </row>
    <row r="453" spans="11:13" x14ac:dyDescent="0.2">
      <c r="K453" t="s">
        <v>1205</v>
      </c>
      <c r="L453" s="69">
        <f t="shared" si="33"/>
        <v>9419.7535590580501</v>
      </c>
      <c r="M453" s="7" t="s">
        <v>1264</v>
      </c>
    </row>
    <row r="454" spans="11:13" x14ac:dyDescent="0.2">
      <c r="K454" t="s">
        <v>1206</v>
      </c>
      <c r="L454" s="69">
        <v>7700</v>
      </c>
      <c r="M454" s="69" t="s">
        <v>1058</v>
      </c>
    </row>
    <row r="455" spans="11:13" x14ac:dyDescent="0.2">
      <c r="K455" t="s">
        <v>1206</v>
      </c>
      <c r="L455" s="69">
        <v>7975</v>
      </c>
      <c r="M455" s="69" t="s">
        <v>1059</v>
      </c>
    </row>
    <row r="456" spans="11:13" x14ac:dyDescent="0.2">
      <c r="K456" t="s">
        <v>1206</v>
      </c>
      <c r="L456" s="69">
        <f>L455*1.035</f>
        <v>8254.125</v>
      </c>
      <c r="M456" s="69" t="s">
        <v>1060</v>
      </c>
    </row>
    <row r="457" spans="11:13" x14ac:dyDescent="0.2">
      <c r="K457" t="s">
        <v>1206</v>
      </c>
      <c r="L457" s="69">
        <f>L456*1.035</f>
        <v>8543.0193749999999</v>
      </c>
      <c r="M457" s="69" t="s">
        <v>1061</v>
      </c>
    </row>
    <row r="458" spans="11:13" x14ac:dyDescent="0.2">
      <c r="K458" t="s">
        <v>1206</v>
      </c>
      <c r="L458" s="69">
        <f>L457*1.04</f>
        <v>8884.7401499999996</v>
      </c>
      <c r="M458" s="69" t="s">
        <v>1062</v>
      </c>
    </row>
    <row r="459" spans="11:13" x14ac:dyDescent="0.2">
      <c r="K459" t="s">
        <v>1206</v>
      </c>
      <c r="L459" s="69">
        <f t="shared" ref="L459:L461" si="34">L458*1.04</f>
        <v>9240.1297560000003</v>
      </c>
      <c r="M459" s="69" t="s">
        <v>1115</v>
      </c>
    </row>
    <row r="460" spans="11:13" x14ac:dyDescent="0.2">
      <c r="K460" t="s">
        <v>1206</v>
      </c>
      <c r="L460" s="69">
        <f t="shared" si="34"/>
        <v>9609.7349462399998</v>
      </c>
      <c r="M460" s="69" t="s">
        <v>1132</v>
      </c>
    </row>
    <row r="461" spans="11:13" x14ac:dyDescent="0.2">
      <c r="K461" t="s">
        <v>1206</v>
      </c>
      <c r="L461" s="69">
        <f t="shared" si="34"/>
        <v>9994.1243440895996</v>
      </c>
      <c r="M461" s="7" t="s">
        <v>1264</v>
      </c>
    </row>
    <row r="462" spans="11:13" x14ac:dyDescent="0.2">
      <c r="K462" t="s">
        <v>1207</v>
      </c>
      <c r="L462" s="69">
        <v>8116.67</v>
      </c>
      <c r="M462" s="69" t="s">
        <v>1058</v>
      </c>
    </row>
    <row r="463" spans="11:13" x14ac:dyDescent="0.2">
      <c r="K463" t="s">
        <v>1207</v>
      </c>
      <c r="L463" s="69">
        <v>8408.33</v>
      </c>
      <c r="M463" s="69" t="s">
        <v>1059</v>
      </c>
    </row>
    <row r="464" spans="11:13" x14ac:dyDescent="0.2">
      <c r="K464" t="s">
        <v>1207</v>
      </c>
      <c r="L464" s="69">
        <f>L463*1.035</f>
        <v>8702.6215499999998</v>
      </c>
      <c r="M464" s="69" t="s">
        <v>1060</v>
      </c>
    </row>
    <row r="465" spans="11:13" x14ac:dyDescent="0.2">
      <c r="K465" t="s">
        <v>1207</v>
      </c>
      <c r="L465" s="69">
        <f>L464*1.035</f>
        <v>9007.2133042499991</v>
      </c>
      <c r="M465" s="69" t="s">
        <v>1061</v>
      </c>
    </row>
    <row r="466" spans="11:13" x14ac:dyDescent="0.2">
      <c r="K466" t="s">
        <v>1207</v>
      </c>
      <c r="L466" s="69">
        <f>L465*1.04</f>
        <v>9367.5018364199987</v>
      </c>
      <c r="M466" s="69" t="s">
        <v>1062</v>
      </c>
    </row>
    <row r="467" spans="11:13" x14ac:dyDescent="0.2">
      <c r="K467" t="s">
        <v>1207</v>
      </c>
      <c r="L467" s="69">
        <f t="shared" ref="L467:L469" si="35">L466*1.04</f>
        <v>9742.2019098767996</v>
      </c>
      <c r="M467" s="69" t="s">
        <v>1115</v>
      </c>
    </row>
    <row r="468" spans="11:13" x14ac:dyDescent="0.2">
      <c r="K468" t="s">
        <v>1207</v>
      </c>
      <c r="L468" s="69">
        <f t="shared" si="35"/>
        <v>10131.889986271872</v>
      </c>
      <c r="M468" s="69" t="s">
        <v>1132</v>
      </c>
    </row>
    <row r="469" spans="11:13" x14ac:dyDescent="0.2">
      <c r="K469" t="s">
        <v>1207</v>
      </c>
      <c r="L469" s="69">
        <f t="shared" si="35"/>
        <v>10537.165585722747</v>
      </c>
      <c r="M469" s="7" t="s">
        <v>1264</v>
      </c>
    </row>
    <row r="470" spans="11:13" x14ac:dyDescent="0.2">
      <c r="K470" t="s">
        <v>1208</v>
      </c>
      <c r="L470" s="69">
        <v>8575</v>
      </c>
      <c r="M470" s="69" t="s">
        <v>1058</v>
      </c>
    </row>
    <row r="471" spans="11:13" x14ac:dyDescent="0.2">
      <c r="K471" t="s">
        <v>1208</v>
      </c>
      <c r="L471" s="69">
        <v>8833.33</v>
      </c>
      <c r="M471" s="69" t="s">
        <v>1059</v>
      </c>
    </row>
    <row r="472" spans="11:13" x14ac:dyDescent="0.2">
      <c r="K472" t="s">
        <v>1208</v>
      </c>
      <c r="L472" s="69">
        <f>L471*1.035</f>
        <v>9142.4965499999998</v>
      </c>
      <c r="M472" s="69" t="s">
        <v>1060</v>
      </c>
    </row>
    <row r="473" spans="11:13" x14ac:dyDescent="0.2">
      <c r="K473" t="s">
        <v>1208</v>
      </c>
      <c r="L473" s="69">
        <f>L472*1.035</f>
        <v>9462.4839292499983</v>
      </c>
      <c r="M473" s="69" t="s">
        <v>1061</v>
      </c>
    </row>
    <row r="474" spans="11:13" x14ac:dyDescent="0.2">
      <c r="K474" t="s">
        <v>1208</v>
      </c>
      <c r="L474" s="69">
        <f>L473*1.04</f>
        <v>9840.983286419998</v>
      </c>
      <c r="M474" s="69" t="s">
        <v>1062</v>
      </c>
    </row>
    <row r="475" spans="11:13" x14ac:dyDescent="0.2">
      <c r="K475" t="s">
        <v>1208</v>
      </c>
      <c r="L475" s="69">
        <f t="shared" ref="L475:L477" si="36">L474*1.04</f>
        <v>10234.622617876797</v>
      </c>
      <c r="M475" s="69" t="s">
        <v>1115</v>
      </c>
    </row>
    <row r="476" spans="11:13" x14ac:dyDescent="0.2">
      <c r="K476" t="s">
        <v>1208</v>
      </c>
      <c r="L476" s="69">
        <f t="shared" si="36"/>
        <v>10644.00752259187</v>
      </c>
      <c r="M476" s="69" t="s">
        <v>1132</v>
      </c>
    </row>
    <row r="477" spans="11:13" x14ac:dyDescent="0.2">
      <c r="K477" t="s">
        <v>1208</v>
      </c>
      <c r="L477" s="69">
        <f t="shared" si="36"/>
        <v>11069.767823495546</v>
      </c>
      <c r="M477" s="7" t="s">
        <v>1264</v>
      </c>
    </row>
    <row r="478" spans="11:13" x14ac:dyDescent="0.2">
      <c r="K478" t="s">
        <v>1209</v>
      </c>
      <c r="L478" s="69">
        <v>9025</v>
      </c>
      <c r="M478" s="69" t="s">
        <v>1058</v>
      </c>
    </row>
    <row r="479" spans="11:13" x14ac:dyDescent="0.2">
      <c r="K479" t="s">
        <v>1209</v>
      </c>
      <c r="L479" s="69">
        <v>9341.67</v>
      </c>
      <c r="M479" s="69" t="s">
        <v>1059</v>
      </c>
    </row>
    <row r="480" spans="11:13" x14ac:dyDescent="0.2">
      <c r="K480" t="s">
        <v>1209</v>
      </c>
      <c r="L480" s="69">
        <f>L479*1.035</f>
        <v>9668.6284500000002</v>
      </c>
      <c r="M480" s="69" t="s">
        <v>1060</v>
      </c>
    </row>
    <row r="481" spans="11:13" x14ac:dyDescent="0.2">
      <c r="K481" t="s">
        <v>1209</v>
      </c>
      <c r="L481" s="69">
        <f>L480*1.035</f>
        <v>10007.030445749999</v>
      </c>
      <c r="M481" s="69" t="s">
        <v>1061</v>
      </c>
    </row>
    <row r="482" spans="11:13" x14ac:dyDescent="0.2">
      <c r="K482" t="s">
        <v>1209</v>
      </c>
      <c r="L482" s="69">
        <f>L481*1.04</f>
        <v>10407.31166358</v>
      </c>
      <c r="M482" s="69" t="s">
        <v>1062</v>
      </c>
    </row>
    <row r="483" spans="11:13" x14ac:dyDescent="0.2">
      <c r="K483" t="s">
        <v>1209</v>
      </c>
      <c r="L483" s="69">
        <f t="shared" ref="L483:L485" si="37">L482*1.04</f>
        <v>10823.6041301232</v>
      </c>
      <c r="M483" s="69" t="s">
        <v>1115</v>
      </c>
    </row>
    <row r="484" spans="11:13" x14ac:dyDescent="0.2">
      <c r="K484" t="s">
        <v>1209</v>
      </c>
      <c r="L484" s="69">
        <f t="shared" si="37"/>
        <v>11256.548295328128</v>
      </c>
      <c r="M484" s="69" t="s">
        <v>1132</v>
      </c>
    </row>
    <row r="485" spans="11:13" x14ac:dyDescent="0.2">
      <c r="K485" t="s">
        <v>1209</v>
      </c>
      <c r="L485" s="69">
        <f t="shared" si="37"/>
        <v>11706.810227141254</v>
      </c>
      <c r="M485" s="7" t="s">
        <v>1264</v>
      </c>
    </row>
    <row r="486" spans="11:13" x14ac:dyDescent="0.2">
      <c r="K486" t="s">
        <v>1210</v>
      </c>
      <c r="L486" s="69">
        <v>9491.67</v>
      </c>
      <c r="M486" s="69" t="s">
        <v>1058</v>
      </c>
    </row>
    <row r="487" spans="11:13" x14ac:dyDescent="0.2">
      <c r="K487" t="s">
        <v>1210</v>
      </c>
      <c r="L487" s="69">
        <v>9825</v>
      </c>
      <c r="M487" s="69" t="s">
        <v>1059</v>
      </c>
    </row>
    <row r="488" spans="11:13" x14ac:dyDescent="0.2">
      <c r="K488" t="s">
        <v>1210</v>
      </c>
      <c r="L488" s="69">
        <f>L487*1.035</f>
        <v>10168.875</v>
      </c>
      <c r="M488" s="69" t="s">
        <v>1060</v>
      </c>
    </row>
    <row r="489" spans="11:13" x14ac:dyDescent="0.2">
      <c r="K489" t="s">
        <v>1210</v>
      </c>
      <c r="L489" s="69">
        <f>L488*1.035</f>
        <v>10524.785624999999</v>
      </c>
      <c r="M489" s="69" t="s">
        <v>1061</v>
      </c>
    </row>
    <row r="490" spans="11:13" x14ac:dyDescent="0.2">
      <c r="K490" t="s">
        <v>1210</v>
      </c>
      <c r="L490" s="69">
        <f>L489*1.04</f>
        <v>10945.777049999999</v>
      </c>
      <c r="M490" s="69" t="s">
        <v>1062</v>
      </c>
    </row>
    <row r="491" spans="11:13" x14ac:dyDescent="0.2">
      <c r="K491" t="s">
        <v>1210</v>
      </c>
      <c r="L491" s="69">
        <f t="shared" ref="L491:L493" si="38">L490*1.04</f>
        <v>11383.608131999999</v>
      </c>
      <c r="M491" s="69" t="s">
        <v>1115</v>
      </c>
    </row>
    <row r="492" spans="11:13" x14ac:dyDescent="0.2">
      <c r="K492" t="s">
        <v>1210</v>
      </c>
      <c r="L492" s="69">
        <f t="shared" si="38"/>
        <v>11838.95245728</v>
      </c>
      <c r="M492" s="69" t="s">
        <v>1132</v>
      </c>
    </row>
    <row r="493" spans="11:13" x14ac:dyDescent="0.2">
      <c r="K493" t="s">
        <v>1210</v>
      </c>
      <c r="L493" s="69">
        <f t="shared" si="38"/>
        <v>12312.5105555712</v>
      </c>
      <c r="M493" s="7" t="s">
        <v>1264</v>
      </c>
    </row>
    <row r="494" spans="11:13" x14ac:dyDescent="0.2">
      <c r="K494" t="s">
        <v>1211</v>
      </c>
      <c r="L494" s="69">
        <v>9033.33</v>
      </c>
      <c r="M494" s="69" t="s">
        <v>1058</v>
      </c>
    </row>
    <row r="495" spans="11:13" x14ac:dyDescent="0.2">
      <c r="K495" t="s">
        <v>1211</v>
      </c>
      <c r="L495" s="69">
        <v>9350</v>
      </c>
      <c r="M495" s="69" t="s">
        <v>1059</v>
      </c>
    </row>
    <row r="496" spans="11:13" x14ac:dyDescent="0.2">
      <c r="K496" t="s">
        <v>1211</v>
      </c>
      <c r="L496" s="69">
        <f>L495*1.035</f>
        <v>9677.25</v>
      </c>
      <c r="M496" s="69" t="s">
        <v>1060</v>
      </c>
    </row>
    <row r="497" spans="11:13" x14ac:dyDescent="0.2">
      <c r="K497" t="s">
        <v>1211</v>
      </c>
      <c r="L497" s="69">
        <f>L496*1.035</f>
        <v>10015.953749999999</v>
      </c>
      <c r="M497" s="69" t="s">
        <v>1061</v>
      </c>
    </row>
    <row r="498" spans="11:13" x14ac:dyDescent="0.2">
      <c r="K498" t="s">
        <v>1211</v>
      </c>
      <c r="L498" s="69">
        <f>L497*1.04</f>
        <v>10416.591899999999</v>
      </c>
      <c r="M498" s="69" t="s">
        <v>1062</v>
      </c>
    </row>
    <row r="499" spans="11:13" x14ac:dyDescent="0.2">
      <c r="K499" t="s">
        <v>1211</v>
      </c>
      <c r="L499" s="69">
        <f t="shared" ref="L499:L501" si="39">L498*1.04</f>
        <v>10833.255576</v>
      </c>
      <c r="M499" s="69" t="s">
        <v>1115</v>
      </c>
    </row>
    <row r="500" spans="11:13" x14ac:dyDescent="0.2">
      <c r="K500" t="s">
        <v>1211</v>
      </c>
      <c r="L500" s="69">
        <f t="shared" si="39"/>
        <v>11266.58579904</v>
      </c>
      <c r="M500" s="69" t="s">
        <v>1132</v>
      </c>
    </row>
    <row r="501" spans="11:13" x14ac:dyDescent="0.2">
      <c r="K501" t="s">
        <v>1211</v>
      </c>
      <c r="L501" s="69">
        <f t="shared" si="39"/>
        <v>11717.2492310016</v>
      </c>
      <c r="M501" s="7" t="s">
        <v>1264</v>
      </c>
    </row>
    <row r="502" spans="11:13" x14ac:dyDescent="0.2">
      <c r="K502" t="s">
        <v>1212</v>
      </c>
      <c r="L502" s="69">
        <v>9500</v>
      </c>
      <c r="M502" s="69" t="s">
        <v>1058</v>
      </c>
    </row>
    <row r="503" spans="11:13" x14ac:dyDescent="0.2">
      <c r="K503" t="s">
        <v>1212</v>
      </c>
      <c r="L503" s="69">
        <v>9833.33</v>
      </c>
      <c r="M503" s="69" t="s">
        <v>1059</v>
      </c>
    </row>
    <row r="504" spans="11:13" x14ac:dyDescent="0.2">
      <c r="K504" t="s">
        <v>1212</v>
      </c>
      <c r="L504" s="69">
        <f>L503*1.035</f>
        <v>10177.49655</v>
      </c>
      <c r="M504" s="69" t="s">
        <v>1060</v>
      </c>
    </row>
    <row r="505" spans="11:13" x14ac:dyDescent="0.2">
      <c r="K505" t="s">
        <v>1212</v>
      </c>
      <c r="L505" s="69">
        <f>L504*1.035</f>
        <v>10533.708929249999</v>
      </c>
      <c r="M505" s="69" t="s">
        <v>1061</v>
      </c>
    </row>
    <row r="506" spans="11:13" x14ac:dyDescent="0.2">
      <c r="K506" t="s">
        <v>1212</v>
      </c>
      <c r="L506" s="69">
        <f>L505*1.04</f>
        <v>10955.057286419998</v>
      </c>
      <c r="M506" s="69" t="s">
        <v>1062</v>
      </c>
    </row>
    <row r="507" spans="11:13" x14ac:dyDescent="0.2">
      <c r="K507" t="s">
        <v>1212</v>
      </c>
      <c r="L507" s="69">
        <f t="shared" ref="L507:L509" si="40">L506*1.04</f>
        <v>11393.259577876799</v>
      </c>
      <c r="M507" s="69" t="s">
        <v>1115</v>
      </c>
    </row>
    <row r="508" spans="11:13" x14ac:dyDescent="0.2">
      <c r="K508" t="s">
        <v>1212</v>
      </c>
      <c r="L508" s="69">
        <f t="shared" si="40"/>
        <v>11848.989960991872</v>
      </c>
      <c r="M508" s="69" t="s">
        <v>1132</v>
      </c>
    </row>
    <row r="509" spans="11:13" x14ac:dyDescent="0.2">
      <c r="K509" t="s">
        <v>1212</v>
      </c>
      <c r="L509" s="69">
        <f t="shared" si="40"/>
        <v>12322.949559431547</v>
      </c>
      <c r="M509" s="7" t="s">
        <v>1264</v>
      </c>
    </row>
    <row r="510" spans="11:13" x14ac:dyDescent="0.2">
      <c r="K510" t="s">
        <v>1213</v>
      </c>
      <c r="L510" s="69">
        <v>10000</v>
      </c>
      <c r="M510" s="69" t="s">
        <v>1058</v>
      </c>
    </row>
    <row r="511" spans="11:13" x14ac:dyDescent="0.2">
      <c r="K511" t="s">
        <v>1213</v>
      </c>
      <c r="L511" s="69">
        <v>10350</v>
      </c>
      <c r="M511" s="69" t="s">
        <v>1059</v>
      </c>
    </row>
    <row r="512" spans="11:13" x14ac:dyDescent="0.2">
      <c r="K512" t="s">
        <v>1213</v>
      </c>
      <c r="L512" s="69">
        <f>L511*1.035</f>
        <v>10712.25</v>
      </c>
      <c r="M512" s="69" t="s">
        <v>1060</v>
      </c>
    </row>
    <row r="513" spans="11:13" x14ac:dyDescent="0.2">
      <c r="K513" t="s">
        <v>1213</v>
      </c>
      <c r="L513" s="69">
        <f>L512*1.035</f>
        <v>11087.178749999999</v>
      </c>
      <c r="M513" s="69" t="s">
        <v>1061</v>
      </c>
    </row>
    <row r="514" spans="11:13" x14ac:dyDescent="0.2">
      <c r="K514" t="s">
        <v>1213</v>
      </c>
      <c r="L514" s="69">
        <f>L513*1.04</f>
        <v>11530.6659</v>
      </c>
      <c r="M514" s="69" t="s">
        <v>1062</v>
      </c>
    </row>
    <row r="515" spans="11:13" x14ac:dyDescent="0.2">
      <c r="K515" t="s">
        <v>1213</v>
      </c>
      <c r="L515" s="69">
        <f t="shared" ref="L515:L517" si="41">L514*1.04</f>
        <v>11991.892536000001</v>
      </c>
      <c r="M515" s="69" t="s">
        <v>1115</v>
      </c>
    </row>
    <row r="516" spans="11:13" x14ac:dyDescent="0.2">
      <c r="K516" t="s">
        <v>1213</v>
      </c>
      <c r="L516" s="69">
        <f t="shared" si="41"/>
        <v>12471.568237440002</v>
      </c>
      <c r="M516" s="69" t="s">
        <v>1132</v>
      </c>
    </row>
    <row r="517" spans="11:13" x14ac:dyDescent="0.2">
      <c r="K517" t="s">
        <v>1213</v>
      </c>
      <c r="L517" s="69">
        <f t="shared" si="41"/>
        <v>12970.430966937603</v>
      </c>
      <c r="M517" s="7" t="s">
        <v>1264</v>
      </c>
    </row>
    <row r="518" spans="11:13" x14ac:dyDescent="0.2">
      <c r="K518" t="s">
        <v>1214</v>
      </c>
      <c r="L518" s="69">
        <v>10591.67</v>
      </c>
      <c r="M518" s="69" t="s">
        <v>1058</v>
      </c>
    </row>
    <row r="519" spans="11:13" x14ac:dyDescent="0.2">
      <c r="K519" t="s">
        <v>1214</v>
      </c>
      <c r="L519" s="69">
        <v>10966.67</v>
      </c>
      <c r="M519" s="69" t="s">
        <v>1059</v>
      </c>
    </row>
    <row r="520" spans="11:13" x14ac:dyDescent="0.2">
      <c r="K520" t="s">
        <v>1214</v>
      </c>
      <c r="L520" s="69">
        <f>L519*1.035</f>
        <v>11350.503449999998</v>
      </c>
      <c r="M520" s="69" t="s">
        <v>1060</v>
      </c>
    </row>
    <row r="521" spans="11:13" x14ac:dyDescent="0.2">
      <c r="K521" t="s">
        <v>1214</v>
      </c>
      <c r="L521" s="69">
        <f>L520*1.035</f>
        <v>11747.771070749997</v>
      </c>
      <c r="M521" s="69" t="s">
        <v>1061</v>
      </c>
    </row>
    <row r="522" spans="11:13" x14ac:dyDescent="0.2">
      <c r="K522" t="s">
        <v>1214</v>
      </c>
      <c r="L522" s="69">
        <f>L521*1.04</f>
        <v>12217.681913579998</v>
      </c>
      <c r="M522" s="69" t="s">
        <v>1062</v>
      </c>
    </row>
    <row r="523" spans="11:13" x14ac:dyDescent="0.2">
      <c r="K523" t="s">
        <v>1214</v>
      </c>
      <c r="L523" s="69">
        <f t="shared" ref="L523:L525" si="42">L522*1.04</f>
        <v>12706.389190123198</v>
      </c>
      <c r="M523" s="69" t="s">
        <v>1115</v>
      </c>
    </row>
    <row r="524" spans="11:13" x14ac:dyDescent="0.2">
      <c r="K524" t="s">
        <v>1214</v>
      </c>
      <c r="L524" s="69">
        <f t="shared" si="42"/>
        <v>13214.644757728127</v>
      </c>
      <c r="M524" s="69" t="s">
        <v>1132</v>
      </c>
    </row>
    <row r="525" spans="11:13" x14ac:dyDescent="0.2">
      <c r="K525" t="s">
        <v>1214</v>
      </c>
      <c r="L525" s="69">
        <f t="shared" si="42"/>
        <v>13743.230548037252</v>
      </c>
      <c r="M525" s="7" t="s">
        <v>1264</v>
      </c>
    </row>
    <row r="526" spans="11:13" x14ac:dyDescent="0.2">
      <c r="K526" t="s">
        <v>1215</v>
      </c>
      <c r="L526" s="69">
        <v>11408.33</v>
      </c>
      <c r="M526" s="69" t="s">
        <v>1058</v>
      </c>
    </row>
    <row r="527" spans="11:13" x14ac:dyDescent="0.2">
      <c r="K527" t="s">
        <v>1215</v>
      </c>
      <c r="L527" s="69">
        <v>11808.33</v>
      </c>
      <c r="M527" s="69" t="s">
        <v>1059</v>
      </c>
    </row>
    <row r="528" spans="11:13" x14ac:dyDescent="0.2">
      <c r="K528" t="s">
        <v>1215</v>
      </c>
      <c r="L528" s="69">
        <f>L527*1.035</f>
        <v>12221.62155</v>
      </c>
      <c r="M528" s="69" t="s">
        <v>1060</v>
      </c>
    </row>
    <row r="529" spans="11:13" x14ac:dyDescent="0.2">
      <c r="K529" t="s">
        <v>1215</v>
      </c>
      <c r="L529" s="69">
        <f>L528*1.035</f>
        <v>12649.378304249998</v>
      </c>
      <c r="M529" s="69" t="s">
        <v>1061</v>
      </c>
    </row>
    <row r="530" spans="11:13" x14ac:dyDescent="0.2">
      <c r="K530" t="s">
        <v>1215</v>
      </c>
      <c r="L530" s="69">
        <f>L529*1.04</f>
        <v>13155.353436419999</v>
      </c>
      <c r="M530" s="69" t="s">
        <v>1062</v>
      </c>
    </row>
    <row r="531" spans="11:13" x14ac:dyDescent="0.2">
      <c r="K531" t="s">
        <v>1215</v>
      </c>
      <c r="L531" s="69">
        <f t="shared" ref="L531:L533" si="43">L530*1.04</f>
        <v>13681.567573876799</v>
      </c>
      <c r="M531" s="69" t="s">
        <v>1115</v>
      </c>
    </row>
    <row r="532" spans="11:13" x14ac:dyDescent="0.2">
      <c r="K532" t="s">
        <v>1215</v>
      </c>
      <c r="L532" s="69">
        <f t="shared" si="43"/>
        <v>14228.830276831872</v>
      </c>
      <c r="M532" s="69" t="s">
        <v>1132</v>
      </c>
    </row>
    <row r="533" spans="11:13" x14ac:dyDescent="0.2">
      <c r="K533" t="s">
        <v>1215</v>
      </c>
      <c r="L533" s="69">
        <f t="shared" si="43"/>
        <v>14797.983487905147</v>
      </c>
      <c r="M533" s="7" t="s">
        <v>1264</v>
      </c>
    </row>
    <row r="534" spans="11:13" x14ac:dyDescent="0.2">
      <c r="K534" t="s">
        <v>1216</v>
      </c>
      <c r="L534" s="69">
        <v>10600</v>
      </c>
      <c r="M534" s="69" t="s">
        <v>1058</v>
      </c>
    </row>
    <row r="535" spans="11:13" x14ac:dyDescent="0.2">
      <c r="K535" t="s">
        <v>1216</v>
      </c>
      <c r="L535" s="69">
        <v>10975</v>
      </c>
      <c r="M535" s="69" t="s">
        <v>1059</v>
      </c>
    </row>
    <row r="536" spans="11:13" x14ac:dyDescent="0.2">
      <c r="K536" t="s">
        <v>1216</v>
      </c>
      <c r="L536" s="69">
        <f>L535*1.035</f>
        <v>11359.125</v>
      </c>
      <c r="M536" s="69" t="s">
        <v>1060</v>
      </c>
    </row>
    <row r="537" spans="11:13" x14ac:dyDescent="0.2">
      <c r="K537" t="s">
        <v>1216</v>
      </c>
      <c r="L537" s="69">
        <f>L536*1.035</f>
        <v>11756.694374999999</v>
      </c>
      <c r="M537" s="69" t="s">
        <v>1061</v>
      </c>
    </row>
    <row r="538" spans="11:13" x14ac:dyDescent="0.2">
      <c r="K538" t="s">
        <v>1216</v>
      </c>
      <c r="L538" s="69">
        <f>L537*1.04</f>
        <v>12226.962149999999</v>
      </c>
      <c r="M538" s="69" t="s">
        <v>1062</v>
      </c>
    </row>
    <row r="539" spans="11:13" x14ac:dyDescent="0.2">
      <c r="K539" t="s">
        <v>1216</v>
      </c>
      <c r="L539" s="69">
        <f t="shared" ref="L539:L541" si="44">L538*1.04</f>
        <v>12716.040636</v>
      </c>
      <c r="M539" s="69" t="s">
        <v>1115</v>
      </c>
    </row>
    <row r="540" spans="11:13" x14ac:dyDescent="0.2">
      <c r="K540" t="s">
        <v>1216</v>
      </c>
      <c r="L540" s="69">
        <f t="shared" si="44"/>
        <v>13224.682261440001</v>
      </c>
      <c r="M540" s="69" t="s">
        <v>1132</v>
      </c>
    </row>
    <row r="541" spans="11:13" x14ac:dyDescent="0.2">
      <c r="K541" t="s">
        <v>1216</v>
      </c>
      <c r="L541" s="69">
        <f t="shared" si="44"/>
        <v>13753.669551897601</v>
      </c>
      <c r="M541" s="7" t="s">
        <v>1264</v>
      </c>
    </row>
    <row r="542" spans="11:13" x14ac:dyDescent="0.2">
      <c r="K542" t="s">
        <v>1217</v>
      </c>
      <c r="L542" s="69">
        <v>11416.67</v>
      </c>
      <c r="M542" s="69" t="s">
        <v>1058</v>
      </c>
    </row>
    <row r="543" spans="11:13" x14ac:dyDescent="0.2">
      <c r="K543" t="s">
        <v>1217</v>
      </c>
      <c r="L543" s="69">
        <v>11816.67</v>
      </c>
      <c r="M543" s="69" t="s">
        <v>1059</v>
      </c>
    </row>
    <row r="544" spans="11:13" x14ac:dyDescent="0.2">
      <c r="K544" t="s">
        <v>1217</v>
      </c>
      <c r="L544" s="69">
        <f>L543*1.035</f>
        <v>12230.253449999998</v>
      </c>
      <c r="M544" s="69" t="s">
        <v>1060</v>
      </c>
    </row>
    <row r="545" spans="11:13" x14ac:dyDescent="0.2">
      <c r="K545" t="s">
        <v>1217</v>
      </c>
      <c r="L545" s="69">
        <f>L544*1.035</f>
        <v>12658.312320749998</v>
      </c>
      <c r="M545" s="69" t="s">
        <v>1061</v>
      </c>
    </row>
    <row r="546" spans="11:13" x14ac:dyDescent="0.2">
      <c r="K546" t="s">
        <v>1217</v>
      </c>
      <c r="L546" s="69">
        <f>L545*1.04</f>
        <v>13164.644813579998</v>
      </c>
      <c r="M546" s="69" t="s">
        <v>1062</v>
      </c>
    </row>
    <row r="547" spans="11:13" x14ac:dyDescent="0.2">
      <c r="K547" t="s">
        <v>1217</v>
      </c>
      <c r="L547" s="69">
        <f t="shared" ref="L547:L549" si="45">L546*1.04</f>
        <v>13691.230606123199</v>
      </c>
      <c r="M547" s="69" t="s">
        <v>1115</v>
      </c>
    </row>
    <row r="548" spans="11:13" x14ac:dyDescent="0.2">
      <c r="K548" t="s">
        <v>1217</v>
      </c>
      <c r="L548" s="69">
        <f t="shared" si="45"/>
        <v>14238.879830368127</v>
      </c>
      <c r="M548" s="69" t="s">
        <v>1132</v>
      </c>
    </row>
    <row r="549" spans="11:13" x14ac:dyDescent="0.2">
      <c r="K549" t="s">
        <v>1217</v>
      </c>
      <c r="L549" s="69">
        <f t="shared" si="45"/>
        <v>14808.435023582853</v>
      </c>
      <c r="M549" s="7" t="s">
        <v>1264</v>
      </c>
    </row>
    <row r="550" spans="11:13" x14ac:dyDescent="0.2">
      <c r="K550" t="s">
        <v>1218</v>
      </c>
      <c r="L550" s="69">
        <v>12283.33</v>
      </c>
      <c r="M550" s="69" t="s">
        <v>1058</v>
      </c>
    </row>
    <row r="551" spans="11:13" x14ac:dyDescent="0.2">
      <c r="K551" t="s">
        <v>1218</v>
      </c>
      <c r="L551" s="69">
        <v>12716.67</v>
      </c>
      <c r="M551" s="69" t="s">
        <v>1059</v>
      </c>
    </row>
    <row r="552" spans="11:13" x14ac:dyDescent="0.2">
      <c r="K552" t="s">
        <v>1218</v>
      </c>
      <c r="L552" s="69">
        <f>L551*1.035</f>
        <v>13161.753449999998</v>
      </c>
      <c r="M552" s="69" t="s">
        <v>1060</v>
      </c>
    </row>
    <row r="553" spans="11:13" x14ac:dyDescent="0.2">
      <c r="K553" t="s">
        <v>1218</v>
      </c>
      <c r="L553" s="69">
        <f>L552*1.035</f>
        <v>13622.414820749997</v>
      </c>
      <c r="M553" s="69" t="s">
        <v>1061</v>
      </c>
    </row>
    <row r="554" spans="11:13" x14ac:dyDescent="0.2">
      <c r="K554" t="s">
        <v>1218</v>
      </c>
      <c r="L554" s="69">
        <f>L553*1.04</f>
        <v>14167.311413579997</v>
      </c>
      <c r="M554" s="69" t="s">
        <v>1062</v>
      </c>
    </row>
    <row r="555" spans="11:13" x14ac:dyDescent="0.2">
      <c r="K555" t="s">
        <v>1218</v>
      </c>
      <c r="L555" s="69">
        <f t="shared" ref="L555:L557" si="46">L554*1.04</f>
        <v>14734.003870123197</v>
      </c>
      <c r="M555" s="69" t="s">
        <v>1115</v>
      </c>
    </row>
    <row r="556" spans="11:13" x14ac:dyDescent="0.2">
      <c r="K556" t="s">
        <v>1218</v>
      </c>
      <c r="L556" s="69">
        <f t="shared" si="46"/>
        <v>15323.364024928125</v>
      </c>
      <c r="M556" s="69" t="s">
        <v>1132</v>
      </c>
    </row>
    <row r="557" spans="11:13" x14ac:dyDescent="0.2">
      <c r="K557" t="s">
        <v>1218</v>
      </c>
      <c r="L557" s="69">
        <f t="shared" si="46"/>
        <v>15936.298585925251</v>
      </c>
      <c r="M557" s="7" t="s">
        <v>1264</v>
      </c>
    </row>
    <row r="558" spans="11:13" x14ac:dyDescent="0.2">
      <c r="K558" t="s">
        <v>1219</v>
      </c>
      <c r="L558" s="69">
        <v>13191.67</v>
      </c>
      <c r="M558" s="69" t="s">
        <v>1058</v>
      </c>
    </row>
    <row r="559" spans="11:13" x14ac:dyDescent="0.2">
      <c r="K559" t="s">
        <v>1219</v>
      </c>
      <c r="L559" s="69">
        <v>13658.33</v>
      </c>
      <c r="M559" s="69" t="s">
        <v>1059</v>
      </c>
    </row>
    <row r="560" spans="11:13" x14ac:dyDescent="0.2">
      <c r="K560" t="s">
        <v>1219</v>
      </c>
      <c r="L560" s="69">
        <f>L559*1.035</f>
        <v>14136.371549999998</v>
      </c>
      <c r="M560" s="69" t="s">
        <v>1060</v>
      </c>
    </row>
    <row r="561" spans="11:13" x14ac:dyDescent="0.2">
      <c r="K561" t="s">
        <v>1219</v>
      </c>
      <c r="L561" s="69">
        <f>L560*1.035</f>
        <v>14631.144554249997</v>
      </c>
      <c r="M561" s="69" t="s">
        <v>1061</v>
      </c>
    </row>
    <row r="562" spans="11:13" x14ac:dyDescent="0.2">
      <c r="K562" t="s">
        <v>1219</v>
      </c>
      <c r="L562" s="69">
        <f>L561*1.04</f>
        <v>15216.390336419998</v>
      </c>
      <c r="M562" s="69" t="s">
        <v>1062</v>
      </c>
    </row>
    <row r="563" spans="11:13" x14ac:dyDescent="0.2">
      <c r="K563" t="s">
        <v>1219</v>
      </c>
      <c r="L563" s="69">
        <f t="shared" ref="L563:L565" si="47">L562*1.04</f>
        <v>15825.045949876798</v>
      </c>
      <c r="M563" s="69" t="s">
        <v>1115</v>
      </c>
    </row>
    <row r="564" spans="11:13" x14ac:dyDescent="0.2">
      <c r="K564" t="s">
        <v>1219</v>
      </c>
      <c r="L564" s="69">
        <f t="shared" si="47"/>
        <v>16458.04778787187</v>
      </c>
      <c r="M564" s="69" t="s">
        <v>1132</v>
      </c>
    </row>
    <row r="565" spans="11:13" x14ac:dyDescent="0.2">
      <c r="K565" t="s">
        <v>1219</v>
      </c>
      <c r="L565" s="69">
        <f t="shared" si="47"/>
        <v>17116.369699386745</v>
      </c>
      <c r="M565" s="7" t="s">
        <v>1264</v>
      </c>
    </row>
    <row r="566" spans="11:13" x14ac:dyDescent="0.2">
      <c r="K566" t="s">
        <v>1221</v>
      </c>
      <c r="L566" s="69">
        <v>14158.33</v>
      </c>
      <c r="M566" s="69" t="s">
        <v>1058</v>
      </c>
    </row>
    <row r="567" spans="11:13" x14ac:dyDescent="0.2">
      <c r="K567" t="s">
        <v>1221</v>
      </c>
      <c r="L567" s="69">
        <v>14658.33</v>
      </c>
      <c r="M567" s="69" t="s">
        <v>1059</v>
      </c>
    </row>
    <row r="568" spans="11:13" x14ac:dyDescent="0.2">
      <c r="K568" t="s">
        <v>1221</v>
      </c>
      <c r="L568" s="69">
        <f>L567*1.035</f>
        <v>15171.371549999998</v>
      </c>
      <c r="M568" s="69" t="s">
        <v>1060</v>
      </c>
    </row>
    <row r="569" spans="11:13" x14ac:dyDescent="0.2">
      <c r="K569" t="s">
        <v>1221</v>
      </c>
      <c r="L569" s="69">
        <f>L568*1.035</f>
        <v>15702.369554249997</v>
      </c>
      <c r="M569" s="69" t="s">
        <v>1061</v>
      </c>
    </row>
    <row r="570" spans="11:13" x14ac:dyDescent="0.2">
      <c r="K570" t="s">
        <v>1221</v>
      </c>
      <c r="L570" s="69">
        <f>L569*1.04</f>
        <v>16330.464336419998</v>
      </c>
      <c r="M570" s="69" t="s">
        <v>1062</v>
      </c>
    </row>
    <row r="571" spans="11:13" x14ac:dyDescent="0.2">
      <c r="K571" t="s">
        <v>1221</v>
      </c>
      <c r="L571" s="69">
        <f t="shared" ref="L571:L573" si="48">L570*1.04</f>
        <v>16983.682909876799</v>
      </c>
      <c r="M571" s="69" t="s">
        <v>1115</v>
      </c>
    </row>
    <row r="572" spans="11:13" x14ac:dyDescent="0.2">
      <c r="K572" t="s">
        <v>1221</v>
      </c>
      <c r="L572" s="69">
        <f t="shared" si="48"/>
        <v>17663.030226271872</v>
      </c>
      <c r="M572" s="69" t="s">
        <v>1132</v>
      </c>
    </row>
    <row r="573" spans="11:13" x14ac:dyDescent="0.2">
      <c r="K573" t="s">
        <v>1221</v>
      </c>
      <c r="L573" s="69">
        <f t="shared" si="48"/>
        <v>18369.551435322748</v>
      </c>
      <c r="M573" s="7" t="s">
        <v>1264</v>
      </c>
    </row>
    <row r="574" spans="11:13" x14ac:dyDescent="0.2">
      <c r="K574" t="s">
        <v>1222</v>
      </c>
      <c r="L574" s="69">
        <v>15266.67</v>
      </c>
      <c r="M574" s="69" t="s">
        <v>1058</v>
      </c>
    </row>
    <row r="575" spans="11:13" x14ac:dyDescent="0.2">
      <c r="K575" t="s">
        <v>1222</v>
      </c>
      <c r="L575" s="69">
        <v>15808.33</v>
      </c>
      <c r="M575" s="69" t="s">
        <v>1059</v>
      </c>
    </row>
    <row r="576" spans="11:13" x14ac:dyDescent="0.2">
      <c r="K576" t="s">
        <v>1222</v>
      </c>
      <c r="L576" s="69">
        <f>L575*1.035</f>
        <v>16361.621549999998</v>
      </c>
      <c r="M576" s="69" t="s">
        <v>1060</v>
      </c>
    </row>
    <row r="577" spans="11:13" x14ac:dyDescent="0.2">
      <c r="K577" t="s">
        <v>1222</v>
      </c>
      <c r="L577" s="69">
        <f>L576*1.035</f>
        <v>16934.278304249998</v>
      </c>
      <c r="M577" s="69" t="s">
        <v>1061</v>
      </c>
    </row>
    <row r="578" spans="11:13" x14ac:dyDescent="0.2">
      <c r="K578" t="s">
        <v>1222</v>
      </c>
      <c r="L578" s="69">
        <f>L577*1.04</f>
        <v>17611.649436419997</v>
      </c>
      <c r="M578" s="69" t="s">
        <v>1062</v>
      </c>
    </row>
    <row r="579" spans="11:13" x14ac:dyDescent="0.2">
      <c r="K579" t="s">
        <v>1222</v>
      </c>
      <c r="L579" s="69">
        <f t="shared" ref="L579:L581" si="49">L578*1.04</f>
        <v>18316.115413876796</v>
      </c>
      <c r="M579" s="69" t="s">
        <v>1115</v>
      </c>
    </row>
    <row r="580" spans="11:13" x14ac:dyDescent="0.2">
      <c r="K580" t="s">
        <v>1222</v>
      </c>
      <c r="L580" s="69">
        <f t="shared" si="49"/>
        <v>19048.760030431869</v>
      </c>
      <c r="M580" s="69" t="s">
        <v>1132</v>
      </c>
    </row>
    <row r="581" spans="11:13" x14ac:dyDescent="0.2">
      <c r="K581" t="s">
        <v>1222</v>
      </c>
      <c r="L581" s="69">
        <f t="shared" si="49"/>
        <v>19810.710431649146</v>
      </c>
      <c r="M581" s="7" t="s">
        <v>1264</v>
      </c>
    </row>
    <row r="582" spans="11:13" x14ac:dyDescent="0.2">
      <c r="K582" t="s">
        <v>1223</v>
      </c>
      <c r="L582" s="69">
        <v>16475</v>
      </c>
      <c r="M582" s="69" t="s">
        <v>1058</v>
      </c>
    </row>
    <row r="583" spans="11:13" x14ac:dyDescent="0.2">
      <c r="K583" t="s">
        <v>1223</v>
      </c>
      <c r="L583" s="69">
        <v>17058.330000000002</v>
      </c>
      <c r="M583" s="69" t="s">
        <v>1059</v>
      </c>
    </row>
    <row r="584" spans="11:13" x14ac:dyDescent="0.2">
      <c r="K584" t="s">
        <v>1223</v>
      </c>
      <c r="L584" s="69">
        <f>L583*1.035</f>
        <v>17655.37155</v>
      </c>
      <c r="M584" s="69" t="s">
        <v>1060</v>
      </c>
    </row>
    <row r="585" spans="11:13" x14ac:dyDescent="0.2">
      <c r="K585" t="s">
        <v>1223</v>
      </c>
      <c r="L585" s="69">
        <f>L584*1.035</f>
        <v>18273.309554249998</v>
      </c>
      <c r="M585" s="69" t="s">
        <v>1061</v>
      </c>
    </row>
    <row r="586" spans="11:13" x14ac:dyDescent="0.2">
      <c r="K586" t="s">
        <v>1223</v>
      </c>
      <c r="L586" s="69">
        <f>L585*1.04</f>
        <v>19004.24193642</v>
      </c>
      <c r="M586" s="69" t="s">
        <v>1062</v>
      </c>
    </row>
    <row r="587" spans="11:13" x14ac:dyDescent="0.2">
      <c r="K587" t="s">
        <v>1223</v>
      </c>
      <c r="L587" s="69">
        <f t="shared" ref="L587:L589" si="50">L586*1.04</f>
        <v>19764.4116138768</v>
      </c>
      <c r="M587" s="69" t="s">
        <v>1115</v>
      </c>
    </row>
    <row r="588" spans="11:13" x14ac:dyDescent="0.2">
      <c r="K588" t="s">
        <v>1223</v>
      </c>
      <c r="L588" s="69">
        <f t="shared" si="50"/>
        <v>20554.988078431874</v>
      </c>
      <c r="M588" s="69" t="s">
        <v>1132</v>
      </c>
    </row>
    <row r="589" spans="11:13" x14ac:dyDescent="0.2">
      <c r="K589" t="s">
        <v>1223</v>
      </c>
      <c r="L589" s="69">
        <f t="shared" si="50"/>
        <v>21377.187601569149</v>
      </c>
      <c r="M589" s="7" t="s">
        <v>1264</v>
      </c>
    </row>
    <row r="590" spans="11:13" x14ac:dyDescent="0.2">
      <c r="K590" t="s">
        <v>1224</v>
      </c>
      <c r="L590" s="69">
        <v>17825</v>
      </c>
      <c r="M590" s="69" t="s">
        <v>1058</v>
      </c>
    </row>
    <row r="591" spans="11:13" x14ac:dyDescent="0.2">
      <c r="K591" t="s">
        <v>1224</v>
      </c>
      <c r="L591" s="69">
        <v>18450</v>
      </c>
      <c r="M591" s="69" t="s">
        <v>1059</v>
      </c>
    </row>
    <row r="592" spans="11:13" x14ac:dyDescent="0.2">
      <c r="K592" t="s">
        <v>1224</v>
      </c>
      <c r="L592" s="69">
        <f>L591*1.035</f>
        <v>19095.75</v>
      </c>
      <c r="M592" s="69" t="s">
        <v>1060</v>
      </c>
    </row>
    <row r="593" spans="11:13" x14ac:dyDescent="0.2">
      <c r="K593" t="s">
        <v>1224</v>
      </c>
      <c r="L593" s="69">
        <f>L592*1.035</f>
        <v>19764.10125</v>
      </c>
      <c r="M593" s="69" t="s">
        <v>1061</v>
      </c>
    </row>
    <row r="594" spans="11:13" x14ac:dyDescent="0.2">
      <c r="K594" t="s">
        <v>1224</v>
      </c>
      <c r="L594" s="69">
        <f>L593*1.04</f>
        <v>20554.665300000001</v>
      </c>
      <c r="M594" s="69" t="s">
        <v>1062</v>
      </c>
    </row>
    <row r="595" spans="11:13" x14ac:dyDescent="0.2">
      <c r="K595" t="s">
        <v>1224</v>
      </c>
      <c r="L595" s="69">
        <f t="shared" ref="L595:L597" si="51">L594*1.04</f>
        <v>21376.851912000002</v>
      </c>
      <c r="M595" s="69" t="s">
        <v>1115</v>
      </c>
    </row>
    <row r="596" spans="11:13" x14ac:dyDescent="0.2">
      <c r="K596" t="s">
        <v>1224</v>
      </c>
      <c r="L596" s="69">
        <f t="shared" si="51"/>
        <v>22231.925988480001</v>
      </c>
      <c r="M596" s="69" t="s">
        <v>1132</v>
      </c>
    </row>
    <row r="597" spans="11:13" x14ac:dyDescent="0.2">
      <c r="K597" t="s">
        <v>1224</v>
      </c>
      <c r="L597" s="69">
        <f t="shared" si="51"/>
        <v>23121.203028019201</v>
      </c>
      <c r="M597" s="7" t="s">
        <v>1264</v>
      </c>
    </row>
    <row r="598" spans="11:13" x14ac:dyDescent="0.2">
      <c r="K598" t="s">
        <v>1225</v>
      </c>
      <c r="L598" s="69">
        <v>19316.669999999998</v>
      </c>
      <c r="M598" s="69" t="s">
        <v>1058</v>
      </c>
    </row>
    <row r="599" spans="11:13" x14ac:dyDescent="0.2">
      <c r="K599" t="s">
        <v>1225</v>
      </c>
      <c r="L599" s="69">
        <v>20000</v>
      </c>
      <c r="M599" s="69" t="s">
        <v>1059</v>
      </c>
    </row>
    <row r="600" spans="11:13" x14ac:dyDescent="0.2">
      <c r="K600" t="s">
        <v>1225</v>
      </c>
      <c r="L600" s="69">
        <f>L599*1.035</f>
        <v>20700</v>
      </c>
      <c r="M600" s="69" t="s">
        <v>1060</v>
      </c>
    </row>
    <row r="601" spans="11:13" x14ac:dyDescent="0.2">
      <c r="K601" t="s">
        <v>1225</v>
      </c>
      <c r="L601" s="69">
        <f>L600*1.035</f>
        <v>21424.5</v>
      </c>
      <c r="M601" s="69" t="s">
        <v>1061</v>
      </c>
    </row>
    <row r="602" spans="11:13" x14ac:dyDescent="0.2">
      <c r="K602" t="s">
        <v>1225</v>
      </c>
      <c r="L602" s="69">
        <f>L601*1.04</f>
        <v>22281.48</v>
      </c>
      <c r="M602" s="69" t="s">
        <v>1062</v>
      </c>
    </row>
    <row r="603" spans="11:13" x14ac:dyDescent="0.2">
      <c r="K603" t="s">
        <v>1225</v>
      </c>
      <c r="L603" s="69">
        <f t="shared" ref="L603:L605" si="52">L602*1.04</f>
        <v>23172.7392</v>
      </c>
      <c r="M603" s="69" t="s">
        <v>1115</v>
      </c>
    </row>
    <row r="604" spans="11:13" x14ac:dyDescent="0.2">
      <c r="K604" t="s">
        <v>1225</v>
      </c>
      <c r="L604" s="69">
        <f t="shared" si="52"/>
        <v>24099.648767999999</v>
      </c>
      <c r="M604" s="69" t="s">
        <v>1132</v>
      </c>
    </row>
    <row r="605" spans="11:13" x14ac:dyDescent="0.2">
      <c r="K605" t="s">
        <v>1225</v>
      </c>
      <c r="L605" s="69">
        <f t="shared" si="52"/>
        <v>25063.634718720001</v>
      </c>
      <c r="M605" s="7" t="s">
        <v>1264</v>
      </c>
    </row>
  </sheetData>
  <sheetProtection algorithmName="SHA-512" hashValue="hhbBXZTXXC5piLhBNBISIZRlDCetfiSdpzUEPhdEVFZzcYW5rQfJTDoDYQSHezt/3Pg8OAUvXochFtux3ucWnw==" saltValue="JdST7tO7u2elhOXO7eXygw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indexed="26"/>
    <pageSetUpPr fitToPage="1"/>
  </sheetPr>
  <dimension ref="A1:S934"/>
  <sheetViews>
    <sheetView topLeftCell="A133" zoomScaleNormal="100" workbookViewId="0">
      <selection activeCell="J150" sqref="J150"/>
    </sheetView>
  </sheetViews>
  <sheetFormatPr defaultRowHeight="12.75" x14ac:dyDescent="0.2"/>
  <cols>
    <col min="1" max="1" width="40.5703125" customWidth="1"/>
    <col min="2" max="2" width="11.7109375" customWidth="1"/>
    <col min="3" max="3" width="11.140625" customWidth="1"/>
    <col min="4" max="4" width="2.42578125" customWidth="1"/>
    <col min="5" max="5" width="19.5703125" customWidth="1"/>
    <col min="6" max="6" width="10" customWidth="1"/>
    <col min="7" max="7" width="11.28515625" bestFit="1" customWidth="1"/>
    <col min="8" max="8" width="10" customWidth="1"/>
    <col min="9" max="9" width="11.140625" customWidth="1"/>
    <col min="10" max="10" width="14.28515625" customWidth="1"/>
    <col min="11" max="11" width="12.85546875" customWidth="1"/>
    <col min="12" max="12" width="21.28515625" customWidth="1"/>
    <col min="13" max="13" width="19.140625" customWidth="1"/>
    <col min="14" max="14" width="18.5703125" customWidth="1"/>
    <col min="15" max="15" width="18.28515625" customWidth="1"/>
    <col min="16" max="16" width="19" customWidth="1"/>
    <col min="17" max="17" width="17.28515625" customWidth="1"/>
    <col min="18" max="18" width="13.85546875" customWidth="1"/>
    <col min="19" max="19" width="9.85546875" customWidth="1"/>
  </cols>
  <sheetData>
    <row r="1" spans="1:18" x14ac:dyDescent="0.2">
      <c r="A1" s="19" t="s">
        <v>129</v>
      </c>
      <c r="B1" s="19" t="s">
        <v>130</v>
      </c>
      <c r="C1" s="19" t="s">
        <v>74</v>
      </c>
      <c r="D1" s="19"/>
      <c r="E1" s="19" t="s">
        <v>136</v>
      </c>
      <c r="K1" s="206">
        <f>MONTH(Year1!H6)</f>
        <v>7</v>
      </c>
      <c r="L1">
        <f>YEAR(Year1!H6)</f>
        <v>2026</v>
      </c>
      <c r="M1" s="108"/>
      <c r="Q1" s="6"/>
      <c r="R1" s="6"/>
    </row>
    <row r="2" spans="1:18" x14ac:dyDescent="0.2">
      <c r="Q2" t="s">
        <v>149</v>
      </c>
      <c r="R2" s="208">
        <v>0.5</v>
      </c>
    </row>
    <row r="3" spans="1:18" x14ac:dyDescent="0.2">
      <c r="A3" t="s">
        <v>56</v>
      </c>
      <c r="B3" t="s">
        <v>562</v>
      </c>
      <c r="C3" s="69">
        <v>6656.08</v>
      </c>
      <c r="D3">
        <v>2</v>
      </c>
      <c r="E3" t="s">
        <v>149</v>
      </c>
      <c r="Q3" t="s">
        <v>139</v>
      </c>
      <c r="R3" s="209">
        <v>1</v>
      </c>
    </row>
    <row r="4" spans="1:18" x14ac:dyDescent="0.2">
      <c r="A4" t="s">
        <v>56</v>
      </c>
      <c r="B4" t="s">
        <v>594</v>
      </c>
      <c r="C4" s="69">
        <f>ROUND(C3*1.04,0)</f>
        <v>6922</v>
      </c>
      <c r="D4">
        <v>1</v>
      </c>
      <c r="E4" t="s">
        <v>139</v>
      </c>
      <c r="K4" t="s">
        <v>56</v>
      </c>
      <c r="Q4" t="s">
        <v>147</v>
      </c>
      <c r="R4" s="209">
        <v>0.5</v>
      </c>
    </row>
    <row r="5" spans="1:18" x14ac:dyDescent="0.2">
      <c r="A5" t="s">
        <v>56</v>
      </c>
      <c r="B5" t="s">
        <v>595</v>
      </c>
      <c r="C5" s="69">
        <f>ROUND(C4*1.064,0)</f>
        <v>7365</v>
      </c>
      <c r="D5">
        <v>1</v>
      </c>
      <c r="E5" t="s">
        <v>147</v>
      </c>
      <c r="K5" t="s">
        <v>58</v>
      </c>
      <c r="Q5" t="s">
        <v>144</v>
      </c>
      <c r="R5" s="209">
        <v>0.5</v>
      </c>
    </row>
    <row r="6" spans="1:18" x14ac:dyDescent="0.2">
      <c r="A6" t="s">
        <v>56</v>
      </c>
      <c r="B6" s="6" t="s">
        <v>641</v>
      </c>
      <c r="C6" s="69">
        <f>ROUND(C5*1.064,0)</f>
        <v>7836</v>
      </c>
      <c r="D6">
        <v>4</v>
      </c>
      <c r="E6" t="s">
        <v>144</v>
      </c>
      <c r="K6" t="s">
        <v>60</v>
      </c>
      <c r="Q6" t="s">
        <v>145</v>
      </c>
      <c r="R6" s="209">
        <v>0.5</v>
      </c>
    </row>
    <row r="7" spans="1:18" x14ac:dyDescent="0.2">
      <c r="A7" t="s">
        <v>56</v>
      </c>
      <c r="B7" s="6" t="s">
        <v>662</v>
      </c>
      <c r="C7" s="69">
        <f t="shared" ref="C7:C10" si="0">ROUND(C6*1.064,0)</f>
        <v>8338</v>
      </c>
      <c r="D7">
        <v>1</v>
      </c>
      <c r="E7" t="s">
        <v>145</v>
      </c>
      <c r="K7" t="s">
        <v>61</v>
      </c>
      <c r="Q7" t="s">
        <v>152</v>
      </c>
      <c r="R7" s="209">
        <v>0.5</v>
      </c>
    </row>
    <row r="8" spans="1:18" x14ac:dyDescent="0.2">
      <c r="A8" t="s">
        <v>56</v>
      </c>
      <c r="B8" s="6" t="s">
        <v>798</v>
      </c>
      <c r="C8" s="69">
        <f t="shared" si="0"/>
        <v>8872</v>
      </c>
      <c r="D8">
        <v>4</v>
      </c>
      <c r="E8" t="s">
        <v>152</v>
      </c>
      <c r="K8" t="s">
        <v>463</v>
      </c>
      <c r="Q8" t="s">
        <v>148</v>
      </c>
      <c r="R8" s="209">
        <v>0.5</v>
      </c>
    </row>
    <row r="9" spans="1:18" x14ac:dyDescent="0.2">
      <c r="A9" t="s">
        <v>56</v>
      </c>
      <c r="B9" s="6" t="s">
        <v>801</v>
      </c>
      <c r="C9" s="69">
        <f t="shared" si="0"/>
        <v>9440</v>
      </c>
      <c r="D9">
        <v>2</v>
      </c>
      <c r="E9" t="s">
        <v>148</v>
      </c>
      <c r="K9" t="s">
        <v>62</v>
      </c>
      <c r="Q9" t="s">
        <v>150</v>
      </c>
      <c r="R9" s="209">
        <v>0.5</v>
      </c>
    </row>
    <row r="10" spans="1:18" x14ac:dyDescent="0.2">
      <c r="A10" t="s">
        <v>56</v>
      </c>
      <c r="B10" s="6" t="s">
        <v>875</v>
      </c>
      <c r="C10" s="69">
        <f t="shared" si="0"/>
        <v>10044</v>
      </c>
      <c r="D10">
        <v>3</v>
      </c>
      <c r="E10" t="s">
        <v>150</v>
      </c>
      <c r="K10" t="s">
        <v>63</v>
      </c>
      <c r="Q10" t="s">
        <v>137</v>
      </c>
      <c r="R10" s="209">
        <v>0.5</v>
      </c>
    </row>
    <row r="11" spans="1:18" x14ac:dyDescent="0.2">
      <c r="A11" t="s">
        <v>56</v>
      </c>
      <c r="B11" t="s">
        <v>132</v>
      </c>
      <c r="C11" s="69">
        <v>0</v>
      </c>
      <c r="D11">
        <v>5</v>
      </c>
      <c r="E11" t="s">
        <v>137</v>
      </c>
      <c r="K11" s="6" t="s">
        <v>596</v>
      </c>
      <c r="Q11" t="s">
        <v>585</v>
      </c>
      <c r="R11" s="209">
        <v>1</v>
      </c>
    </row>
    <row r="12" spans="1:18" x14ac:dyDescent="0.2">
      <c r="A12" t="s">
        <v>58</v>
      </c>
      <c r="B12" t="s">
        <v>562</v>
      </c>
      <c r="C12" s="69">
        <v>4734.83</v>
      </c>
      <c r="D12">
        <v>1</v>
      </c>
      <c r="E12" t="s">
        <v>585</v>
      </c>
      <c r="K12" s="6" t="s">
        <v>1023</v>
      </c>
      <c r="Q12" t="s">
        <v>138</v>
      </c>
      <c r="R12" s="209">
        <v>1</v>
      </c>
    </row>
    <row r="13" spans="1:18" x14ac:dyDescent="0.2">
      <c r="A13" t="s">
        <v>58</v>
      </c>
      <c r="B13" t="s">
        <v>594</v>
      </c>
      <c r="C13" s="69">
        <f>ROUND(C12*1.04,0)</f>
        <v>4924</v>
      </c>
      <c r="D13">
        <v>2</v>
      </c>
      <c r="E13" t="s">
        <v>138</v>
      </c>
      <c r="K13" s="6" t="s">
        <v>1024</v>
      </c>
      <c r="Q13" t="s">
        <v>204</v>
      </c>
      <c r="R13" s="209">
        <v>1</v>
      </c>
    </row>
    <row r="14" spans="1:18" x14ac:dyDescent="0.2">
      <c r="A14" t="s">
        <v>58</v>
      </c>
      <c r="B14" t="s">
        <v>595</v>
      </c>
      <c r="C14" s="69">
        <f>ROUND(C13*1.064,0)</f>
        <v>5239</v>
      </c>
      <c r="D14">
        <v>1</v>
      </c>
      <c r="E14" t="s">
        <v>204</v>
      </c>
      <c r="K14" s="6" t="s">
        <v>1027</v>
      </c>
      <c r="Q14" t="s">
        <v>13</v>
      </c>
      <c r="R14" s="209">
        <v>1</v>
      </c>
    </row>
    <row r="15" spans="1:18" x14ac:dyDescent="0.2">
      <c r="A15" t="s">
        <v>58</v>
      </c>
      <c r="B15" s="6" t="s">
        <v>641</v>
      </c>
      <c r="C15" s="69">
        <f t="shared" ref="C15:C19" si="1">ROUND(C14*1.064,0)</f>
        <v>5574</v>
      </c>
      <c r="D15">
        <v>3</v>
      </c>
      <c r="E15" t="s">
        <v>13</v>
      </c>
      <c r="K15" s="6" t="s">
        <v>1026</v>
      </c>
      <c r="Q15" t="s">
        <v>140</v>
      </c>
      <c r="R15" s="209">
        <v>1</v>
      </c>
    </row>
    <row r="16" spans="1:18" x14ac:dyDescent="0.2">
      <c r="A16" t="s">
        <v>58</v>
      </c>
      <c r="B16" s="6" t="s">
        <v>662</v>
      </c>
      <c r="C16" s="69">
        <f t="shared" si="1"/>
        <v>5931</v>
      </c>
      <c r="D16">
        <v>2</v>
      </c>
      <c r="E16" t="s">
        <v>140</v>
      </c>
      <c r="K16" s="6" t="s">
        <v>1025</v>
      </c>
      <c r="Q16" t="s">
        <v>146</v>
      </c>
      <c r="R16" s="209">
        <v>0.5</v>
      </c>
    </row>
    <row r="17" spans="1:18" x14ac:dyDescent="0.2">
      <c r="A17" t="s">
        <v>58</v>
      </c>
      <c r="B17" s="6" t="s">
        <v>798</v>
      </c>
      <c r="C17" s="69">
        <f t="shared" si="1"/>
        <v>6311</v>
      </c>
      <c r="D17">
        <v>3</v>
      </c>
      <c r="E17" t="s">
        <v>146</v>
      </c>
      <c r="K17" s="6" t="s">
        <v>735</v>
      </c>
      <c r="Q17" t="s">
        <v>151</v>
      </c>
      <c r="R17" s="209">
        <v>0.5</v>
      </c>
    </row>
    <row r="18" spans="1:18" x14ac:dyDescent="0.2">
      <c r="A18" t="s">
        <v>58</v>
      </c>
      <c r="B18" s="6" t="s">
        <v>801</v>
      </c>
      <c r="C18" s="69">
        <f t="shared" si="1"/>
        <v>6715</v>
      </c>
      <c r="D18">
        <v>1</v>
      </c>
      <c r="E18" t="s">
        <v>151</v>
      </c>
      <c r="K18" s="6" t="s">
        <v>734</v>
      </c>
      <c r="Q18" t="s">
        <v>131</v>
      </c>
      <c r="R18" s="209">
        <v>0</v>
      </c>
    </row>
    <row r="19" spans="1:18" x14ac:dyDescent="0.2">
      <c r="A19" t="s">
        <v>58</v>
      </c>
      <c r="B19" s="6" t="s">
        <v>875</v>
      </c>
      <c r="C19" s="69">
        <f t="shared" si="1"/>
        <v>7145</v>
      </c>
      <c r="D19">
        <v>0</v>
      </c>
      <c r="E19" t="s">
        <v>131</v>
      </c>
      <c r="K19" s="6" t="s">
        <v>736</v>
      </c>
      <c r="Q19" t="s">
        <v>141</v>
      </c>
      <c r="R19" s="209">
        <v>0.5</v>
      </c>
    </row>
    <row r="20" spans="1:18" x14ac:dyDescent="0.2">
      <c r="A20" t="s">
        <v>58</v>
      </c>
      <c r="B20" t="s">
        <v>132</v>
      </c>
      <c r="C20" s="69">
        <v>0</v>
      </c>
      <c r="D20">
        <v>2</v>
      </c>
      <c r="E20" t="s">
        <v>141</v>
      </c>
      <c r="K20" s="6" t="s">
        <v>737</v>
      </c>
      <c r="Q20" t="s">
        <v>142</v>
      </c>
      <c r="R20" s="209">
        <v>0.5</v>
      </c>
    </row>
    <row r="21" spans="1:18" x14ac:dyDescent="0.2">
      <c r="A21" t="s">
        <v>60</v>
      </c>
      <c r="B21" t="s">
        <v>562</v>
      </c>
      <c r="C21" s="69">
        <v>4734.83</v>
      </c>
      <c r="D21">
        <v>1</v>
      </c>
      <c r="E21" t="s">
        <v>142</v>
      </c>
      <c r="K21" s="6" t="s">
        <v>738</v>
      </c>
      <c r="Q21" t="s">
        <v>14</v>
      </c>
      <c r="R21" s="209">
        <v>0.5</v>
      </c>
    </row>
    <row r="22" spans="1:18" x14ac:dyDescent="0.2">
      <c r="A22" t="s">
        <v>60</v>
      </c>
      <c r="B22" t="s">
        <v>594</v>
      </c>
      <c r="C22" s="69">
        <f>ROUND(C21*1.04,0)</f>
        <v>4924</v>
      </c>
      <c r="D22">
        <v>3</v>
      </c>
      <c r="E22" t="s">
        <v>14</v>
      </c>
      <c r="K22" s="6" t="s">
        <v>739</v>
      </c>
      <c r="Q22" t="s">
        <v>143</v>
      </c>
      <c r="R22" s="209">
        <v>0.5</v>
      </c>
    </row>
    <row r="23" spans="1:18" x14ac:dyDescent="0.2">
      <c r="A23" t="s">
        <v>60</v>
      </c>
      <c r="B23" t="s">
        <v>595</v>
      </c>
      <c r="C23" s="69">
        <f>ROUND(C22*1.064,0)</f>
        <v>5239</v>
      </c>
      <c r="D23">
        <v>2</v>
      </c>
      <c r="E23" t="s">
        <v>143</v>
      </c>
      <c r="K23" s="6" t="s">
        <v>740</v>
      </c>
      <c r="L23" s="6"/>
      <c r="M23" s="6"/>
      <c r="N23" s="6"/>
      <c r="O23" s="6"/>
      <c r="P23" s="6"/>
      <c r="Q23" t="s">
        <v>12</v>
      </c>
      <c r="R23" s="209">
        <v>0.5</v>
      </c>
    </row>
    <row r="24" spans="1:18" x14ac:dyDescent="0.2">
      <c r="A24" t="s">
        <v>60</v>
      </c>
      <c r="B24" s="6" t="s">
        <v>641</v>
      </c>
      <c r="C24" s="69">
        <f t="shared" ref="C24:C28" si="2">ROUND(C23*1.064,0)</f>
        <v>5574</v>
      </c>
      <c r="D24">
        <v>1</v>
      </c>
      <c r="E24" t="s">
        <v>12</v>
      </c>
      <c r="K24" s="6" t="s">
        <v>741</v>
      </c>
    </row>
    <row r="25" spans="1:18" x14ac:dyDescent="0.2">
      <c r="A25" t="s">
        <v>60</v>
      </c>
      <c r="B25" s="6" t="s">
        <v>662</v>
      </c>
      <c r="C25" s="69">
        <f t="shared" si="2"/>
        <v>5931</v>
      </c>
      <c r="K25" s="6" t="s">
        <v>742</v>
      </c>
    </row>
    <row r="26" spans="1:18" x14ac:dyDescent="0.2">
      <c r="A26" t="s">
        <v>60</v>
      </c>
      <c r="B26" s="6" t="s">
        <v>798</v>
      </c>
      <c r="C26" s="69">
        <f t="shared" si="2"/>
        <v>6311</v>
      </c>
      <c r="K26" s="6" t="s">
        <v>743</v>
      </c>
    </row>
    <row r="27" spans="1:18" x14ac:dyDescent="0.2">
      <c r="A27" t="s">
        <v>60</v>
      </c>
      <c r="B27" s="6" t="s">
        <v>801</v>
      </c>
      <c r="C27" s="69">
        <f t="shared" si="2"/>
        <v>6715</v>
      </c>
      <c r="K27" s="205">
        <v>1</v>
      </c>
      <c r="L27" t="s">
        <v>137</v>
      </c>
      <c r="M27" t="s">
        <v>13</v>
      </c>
      <c r="N27" s="6" t="s">
        <v>12</v>
      </c>
      <c r="O27" t="s">
        <v>14</v>
      </c>
      <c r="P27" s="6" t="s">
        <v>131</v>
      </c>
    </row>
    <row r="28" spans="1:18" x14ac:dyDescent="0.2">
      <c r="A28" t="s">
        <v>60</v>
      </c>
      <c r="B28" s="6" t="s">
        <v>875</v>
      </c>
      <c r="C28" s="69">
        <f t="shared" si="2"/>
        <v>7145</v>
      </c>
      <c r="K28" s="205">
        <v>2</v>
      </c>
      <c r="L28" t="s">
        <v>144</v>
      </c>
      <c r="M28" t="s">
        <v>13</v>
      </c>
      <c r="N28" s="6" t="s">
        <v>12</v>
      </c>
      <c r="O28" t="s">
        <v>14</v>
      </c>
      <c r="P28" t="s">
        <v>145</v>
      </c>
    </row>
    <row r="29" spans="1:18" x14ac:dyDescent="0.2">
      <c r="A29" t="s">
        <v>60</v>
      </c>
      <c r="B29" t="s">
        <v>132</v>
      </c>
      <c r="C29" s="69">
        <v>0</v>
      </c>
      <c r="K29" s="205">
        <v>3</v>
      </c>
      <c r="L29" t="s">
        <v>146</v>
      </c>
      <c r="M29" t="s">
        <v>13</v>
      </c>
      <c r="N29" s="6" t="s">
        <v>12</v>
      </c>
      <c r="O29" t="s">
        <v>14</v>
      </c>
      <c r="P29" t="s">
        <v>148</v>
      </c>
    </row>
    <row r="30" spans="1:18" x14ac:dyDescent="0.2">
      <c r="A30" t="s">
        <v>61</v>
      </c>
      <c r="B30" t="s">
        <v>562</v>
      </c>
      <c r="C30" s="69">
        <v>4734.83</v>
      </c>
      <c r="K30" s="205">
        <v>4</v>
      </c>
      <c r="L30" t="s">
        <v>149</v>
      </c>
      <c r="M30" t="s">
        <v>13</v>
      </c>
      <c r="N30" s="6" t="s">
        <v>12</v>
      </c>
      <c r="O30" t="s">
        <v>14</v>
      </c>
      <c r="P30" t="s">
        <v>150</v>
      </c>
    </row>
    <row r="31" spans="1:18" x14ac:dyDescent="0.2">
      <c r="A31" t="s">
        <v>61</v>
      </c>
      <c r="B31" t="s">
        <v>594</v>
      </c>
      <c r="C31" s="69">
        <f t="shared" ref="C31" si="3">ROUND(C30*1.04,0)</f>
        <v>4924</v>
      </c>
      <c r="K31" s="205">
        <v>5</v>
      </c>
      <c r="L31" t="s">
        <v>151</v>
      </c>
      <c r="M31" t="s">
        <v>13</v>
      </c>
      <c r="N31" s="6" t="s">
        <v>12</v>
      </c>
      <c r="O31" t="s">
        <v>14</v>
      </c>
      <c r="P31" t="s">
        <v>152</v>
      </c>
    </row>
    <row r="32" spans="1:18" x14ac:dyDescent="0.2">
      <c r="A32" t="s">
        <v>61</v>
      </c>
      <c r="B32" t="s">
        <v>595</v>
      </c>
      <c r="C32" s="69">
        <f>ROUND(C31*1.064,0)</f>
        <v>5239</v>
      </c>
      <c r="K32" s="205">
        <v>6</v>
      </c>
      <c r="L32" t="s">
        <v>13</v>
      </c>
      <c r="M32" s="6" t="s">
        <v>12</v>
      </c>
      <c r="N32" t="s">
        <v>14</v>
      </c>
      <c r="O32" t="s">
        <v>137</v>
      </c>
      <c r="P32" s="6" t="s">
        <v>131</v>
      </c>
    </row>
    <row r="33" spans="1:18" x14ac:dyDescent="0.2">
      <c r="A33" t="s">
        <v>61</v>
      </c>
      <c r="B33" s="6" t="s">
        <v>641</v>
      </c>
      <c r="C33" s="69">
        <f t="shared" ref="C33:C37" si="4">ROUND(C32*1.064,0)</f>
        <v>5574</v>
      </c>
      <c r="K33" s="205">
        <v>7</v>
      </c>
      <c r="L33" t="s">
        <v>138</v>
      </c>
      <c r="M33" s="6" t="s">
        <v>12</v>
      </c>
      <c r="N33" t="s">
        <v>14</v>
      </c>
      <c r="O33" t="s">
        <v>137</v>
      </c>
      <c r="P33" t="s">
        <v>204</v>
      </c>
    </row>
    <row r="34" spans="1:18" x14ac:dyDescent="0.2">
      <c r="A34" t="s">
        <v>61</v>
      </c>
      <c r="B34" s="6" t="s">
        <v>662</v>
      </c>
      <c r="C34" s="69">
        <f t="shared" si="4"/>
        <v>5931</v>
      </c>
      <c r="K34" s="205">
        <v>8</v>
      </c>
      <c r="L34" s="6" t="s">
        <v>139</v>
      </c>
      <c r="M34" s="6" t="s">
        <v>12</v>
      </c>
      <c r="N34" t="s">
        <v>14</v>
      </c>
      <c r="O34" t="s">
        <v>137</v>
      </c>
      <c r="P34" t="s">
        <v>140</v>
      </c>
    </row>
    <row r="35" spans="1:18" x14ac:dyDescent="0.2">
      <c r="A35" t="s">
        <v>61</v>
      </c>
      <c r="B35" s="6" t="s">
        <v>798</v>
      </c>
      <c r="C35" s="69">
        <f t="shared" si="4"/>
        <v>6311</v>
      </c>
      <c r="K35" s="205">
        <v>9</v>
      </c>
      <c r="L35" s="6" t="s">
        <v>12</v>
      </c>
      <c r="M35" t="s">
        <v>14</v>
      </c>
      <c r="N35" t="s">
        <v>137</v>
      </c>
      <c r="O35" t="s">
        <v>13</v>
      </c>
      <c r="P35" s="6" t="s">
        <v>131</v>
      </c>
    </row>
    <row r="36" spans="1:18" x14ac:dyDescent="0.2">
      <c r="A36" t="s">
        <v>61</v>
      </c>
      <c r="B36" s="6" t="s">
        <v>801</v>
      </c>
      <c r="C36" s="69">
        <f t="shared" si="4"/>
        <v>6715</v>
      </c>
      <c r="K36" s="205">
        <v>10</v>
      </c>
      <c r="L36" t="s">
        <v>14</v>
      </c>
      <c r="M36" t="s">
        <v>137</v>
      </c>
      <c r="N36" t="s">
        <v>13</v>
      </c>
      <c r="O36" s="6" t="s">
        <v>12</v>
      </c>
      <c r="P36" s="6" t="s">
        <v>131</v>
      </c>
    </row>
    <row r="37" spans="1:18" x14ac:dyDescent="0.2">
      <c r="A37" t="s">
        <v>61</v>
      </c>
      <c r="B37" s="6" t="s">
        <v>875</v>
      </c>
      <c r="C37" s="69">
        <f t="shared" si="4"/>
        <v>7145</v>
      </c>
      <c r="K37" s="205">
        <v>11</v>
      </c>
      <c r="L37" t="s">
        <v>141</v>
      </c>
      <c r="M37" t="s">
        <v>137</v>
      </c>
      <c r="N37" t="s">
        <v>13</v>
      </c>
      <c r="O37" s="6" t="s">
        <v>12</v>
      </c>
      <c r="P37" t="s">
        <v>142</v>
      </c>
      <c r="Q37" s="6"/>
      <c r="R37" s="6"/>
    </row>
    <row r="38" spans="1:18" x14ac:dyDescent="0.2">
      <c r="A38" t="s">
        <v>61</v>
      </c>
      <c r="B38" t="s">
        <v>132</v>
      </c>
      <c r="C38" s="69">
        <v>0</v>
      </c>
      <c r="K38" s="205">
        <v>12</v>
      </c>
      <c r="L38" t="s">
        <v>147</v>
      </c>
      <c r="M38" t="s">
        <v>137</v>
      </c>
      <c r="N38" t="s">
        <v>13</v>
      </c>
      <c r="O38" s="6" t="s">
        <v>12</v>
      </c>
      <c r="P38" t="s">
        <v>143</v>
      </c>
      <c r="Q38" s="6"/>
      <c r="R38" s="6"/>
    </row>
    <row r="39" spans="1:18" x14ac:dyDescent="0.2">
      <c r="A39" t="s">
        <v>463</v>
      </c>
      <c r="B39" t="s">
        <v>562</v>
      </c>
      <c r="C39" s="69">
        <v>5284.33</v>
      </c>
      <c r="G39" t="s">
        <v>516</v>
      </c>
      <c r="H39" t="s">
        <v>517</v>
      </c>
      <c r="I39" t="s">
        <v>518</v>
      </c>
      <c r="J39" t="s">
        <v>519</v>
      </c>
      <c r="K39" s="205"/>
      <c r="P39" s="108" t="s">
        <v>138</v>
      </c>
      <c r="Q39" s="108">
        <v>44378</v>
      </c>
      <c r="R39" s="6" t="s">
        <v>561</v>
      </c>
    </row>
    <row r="40" spans="1:18" x14ac:dyDescent="0.2">
      <c r="A40" t="s">
        <v>463</v>
      </c>
      <c r="B40" t="s">
        <v>594</v>
      </c>
      <c r="C40" s="69">
        <f t="shared" ref="C40" si="5">ROUND(C39*1.04,0)</f>
        <v>5496</v>
      </c>
      <c r="E40" s="108">
        <v>45108</v>
      </c>
      <c r="F40">
        <v>2024</v>
      </c>
      <c r="G40" s="109">
        <v>1</v>
      </c>
      <c r="H40" s="109">
        <f t="shared" ref="H40" si="6">12/12-G40</f>
        <v>0</v>
      </c>
      <c r="I40">
        <v>0.60499999999999998</v>
      </c>
      <c r="J40">
        <v>0.60499999999999998</v>
      </c>
      <c r="K40" s="205"/>
      <c r="P40" s="108" t="s">
        <v>12</v>
      </c>
      <c r="Q40" s="108">
        <v>44378</v>
      </c>
      <c r="R40" s="6" t="s">
        <v>561</v>
      </c>
    </row>
    <row r="41" spans="1:18" x14ac:dyDescent="0.2">
      <c r="A41" t="s">
        <v>463</v>
      </c>
      <c r="B41" t="s">
        <v>595</v>
      </c>
      <c r="C41" s="69">
        <f>ROUND(C40*1.064,0)</f>
        <v>5848</v>
      </c>
      <c r="E41" s="108">
        <v>45139</v>
      </c>
      <c r="F41">
        <v>2024</v>
      </c>
      <c r="G41" s="109">
        <v>0.91666666666666663</v>
      </c>
      <c r="H41" s="109">
        <v>8.3333333333333329E-2</v>
      </c>
      <c r="I41">
        <v>0.60499999999999998</v>
      </c>
      <c r="J41">
        <v>0.60499999999999998</v>
      </c>
      <c r="K41" s="205"/>
      <c r="M41" s="108"/>
      <c r="P41" s="108" t="s">
        <v>14</v>
      </c>
      <c r="Q41" s="108">
        <v>44378</v>
      </c>
      <c r="R41" s="6" t="s">
        <v>562</v>
      </c>
    </row>
    <row r="42" spans="1:18" x14ac:dyDescent="0.2">
      <c r="A42" t="s">
        <v>463</v>
      </c>
      <c r="B42" s="6" t="s">
        <v>641</v>
      </c>
      <c r="C42" s="69">
        <f t="shared" ref="C42:C46" si="7">ROUND(C41*1.064,0)</f>
        <v>6222</v>
      </c>
      <c r="E42" s="108">
        <v>45170</v>
      </c>
      <c r="F42">
        <v>2024</v>
      </c>
      <c r="G42" s="109">
        <v>0.83333333333333337</v>
      </c>
      <c r="H42" s="109">
        <v>0.16666666666666666</v>
      </c>
      <c r="I42">
        <v>0.60499999999999998</v>
      </c>
      <c r="J42">
        <v>0.60499999999999998</v>
      </c>
      <c r="K42" s="205"/>
      <c r="M42" s="108"/>
      <c r="P42" s="108" t="s">
        <v>137</v>
      </c>
      <c r="Q42" s="108">
        <v>44378</v>
      </c>
      <c r="R42" s="6" t="s">
        <v>562</v>
      </c>
    </row>
    <row r="43" spans="1:18" x14ac:dyDescent="0.2">
      <c r="A43" t="s">
        <v>463</v>
      </c>
      <c r="B43" s="6" t="s">
        <v>662</v>
      </c>
      <c r="C43" s="69">
        <f t="shared" si="7"/>
        <v>6620</v>
      </c>
      <c r="E43" s="108">
        <v>45200</v>
      </c>
      <c r="F43">
        <v>2024</v>
      </c>
      <c r="G43" s="109">
        <v>0.75</v>
      </c>
      <c r="H43" s="109">
        <v>0.25</v>
      </c>
      <c r="I43">
        <v>0.60499999999999998</v>
      </c>
      <c r="J43">
        <v>0.60499999999999998</v>
      </c>
      <c r="K43" s="205"/>
      <c r="P43" s="108" t="s">
        <v>204</v>
      </c>
      <c r="Q43" s="108">
        <v>44378</v>
      </c>
      <c r="R43" s="6" t="s">
        <v>562</v>
      </c>
    </row>
    <row r="44" spans="1:18" x14ac:dyDescent="0.2">
      <c r="A44" t="s">
        <v>463</v>
      </c>
      <c r="B44" s="6" t="s">
        <v>798</v>
      </c>
      <c r="C44" s="69">
        <f t="shared" si="7"/>
        <v>7044</v>
      </c>
      <c r="E44" s="108">
        <v>45231</v>
      </c>
      <c r="F44">
        <v>2024</v>
      </c>
      <c r="G44" s="109">
        <v>0.66666666666666663</v>
      </c>
      <c r="H44" s="109">
        <v>0.33333333333333331</v>
      </c>
      <c r="I44">
        <v>0.60499999999999998</v>
      </c>
      <c r="J44">
        <v>0.60499999999999998</v>
      </c>
      <c r="K44" s="205"/>
      <c r="L44" s="109"/>
      <c r="M44" s="109"/>
      <c r="P44" s="108" t="s">
        <v>139</v>
      </c>
      <c r="Q44" s="108">
        <v>44409</v>
      </c>
      <c r="R44" s="6" t="s">
        <v>561</v>
      </c>
    </row>
    <row r="45" spans="1:18" x14ac:dyDescent="0.2">
      <c r="A45" t="s">
        <v>463</v>
      </c>
      <c r="B45" s="6" t="s">
        <v>801</v>
      </c>
      <c r="C45" s="69">
        <f t="shared" si="7"/>
        <v>7495</v>
      </c>
      <c r="E45" s="108">
        <v>45261</v>
      </c>
      <c r="F45">
        <v>2024</v>
      </c>
      <c r="G45" s="109">
        <v>0.58333333333333337</v>
      </c>
      <c r="H45" s="109">
        <v>0.41666666666666669</v>
      </c>
      <c r="I45">
        <v>0.60499999999999998</v>
      </c>
      <c r="J45">
        <v>0.60499999999999998</v>
      </c>
      <c r="K45" s="205"/>
      <c r="L45" s="109"/>
      <c r="M45" s="109"/>
      <c r="P45" s="108" t="s">
        <v>12</v>
      </c>
      <c r="Q45" s="108">
        <v>44409</v>
      </c>
      <c r="R45" s="6" t="s">
        <v>561</v>
      </c>
    </row>
    <row r="46" spans="1:18" x14ac:dyDescent="0.2">
      <c r="A46" t="s">
        <v>463</v>
      </c>
      <c r="B46" s="6" t="s">
        <v>875</v>
      </c>
      <c r="C46" s="69">
        <f t="shared" si="7"/>
        <v>7975</v>
      </c>
      <c r="E46" s="108">
        <v>45292</v>
      </c>
      <c r="F46">
        <v>2024</v>
      </c>
      <c r="G46" s="109">
        <v>0.5</v>
      </c>
      <c r="H46" s="109">
        <v>0.5</v>
      </c>
      <c r="I46">
        <v>0.60499999999999998</v>
      </c>
      <c r="J46">
        <v>0.60499999999999998</v>
      </c>
      <c r="K46" s="205"/>
      <c r="L46" s="109"/>
      <c r="M46" s="109"/>
      <c r="P46" s="108" t="s">
        <v>14</v>
      </c>
      <c r="Q46" s="108">
        <v>44409</v>
      </c>
      <c r="R46" s="6" t="s">
        <v>562</v>
      </c>
    </row>
    <row r="47" spans="1:18" x14ac:dyDescent="0.2">
      <c r="A47" t="s">
        <v>463</v>
      </c>
      <c r="B47" t="s">
        <v>132</v>
      </c>
      <c r="C47" s="69">
        <v>0</v>
      </c>
      <c r="E47" s="108">
        <v>45323</v>
      </c>
      <c r="F47">
        <v>2024</v>
      </c>
      <c r="G47" s="109">
        <v>0.41666666666666669</v>
      </c>
      <c r="H47" s="109">
        <v>0.58333333333333337</v>
      </c>
      <c r="I47">
        <v>0.60499999999999998</v>
      </c>
      <c r="J47">
        <v>0.60499999999999998</v>
      </c>
      <c r="K47" s="205"/>
      <c r="L47" s="109"/>
      <c r="M47" s="109"/>
      <c r="O47" s="6"/>
      <c r="P47" s="108" t="s">
        <v>137</v>
      </c>
      <c r="Q47" s="108">
        <v>44409</v>
      </c>
      <c r="R47" s="6" t="s">
        <v>562</v>
      </c>
    </row>
    <row r="48" spans="1:18" x14ac:dyDescent="0.2">
      <c r="A48" t="s">
        <v>62</v>
      </c>
      <c r="B48" t="s">
        <v>562</v>
      </c>
      <c r="C48" s="69">
        <v>7186.58</v>
      </c>
      <c r="E48" s="108">
        <v>45352</v>
      </c>
      <c r="F48">
        <v>2024</v>
      </c>
      <c r="G48" s="109">
        <v>0.33333333333333331</v>
      </c>
      <c r="H48" s="109">
        <v>0.66666666666666663</v>
      </c>
      <c r="I48">
        <v>0.60499999999999998</v>
      </c>
      <c r="J48">
        <v>0.60499999999999998</v>
      </c>
      <c r="K48" s="205"/>
      <c r="L48" s="109"/>
      <c r="M48" s="109"/>
      <c r="P48" s="108" t="s">
        <v>140</v>
      </c>
      <c r="Q48" s="108">
        <v>44409</v>
      </c>
      <c r="R48" s="6" t="s">
        <v>562</v>
      </c>
    </row>
    <row r="49" spans="1:18" x14ac:dyDescent="0.2">
      <c r="A49" t="s">
        <v>62</v>
      </c>
      <c r="B49" t="s">
        <v>594</v>
      </c>
      <c r="C49" s="69">
        <f t="shared" ref="C49" si="8">ROUND(C48*1.04,0)</f>
        <v>7474</v>
      </c>
      <c r="E49" s="108">
        <v>45383</v>
      </c>
      <c r="F49">
        <v>2024</v>
      </c>
      <c r="G49" s="109">
        <v>0.25</v>
      </c>
      <c r="H49" s="109">
        <v>0.75</v>
      </c>
      <c r="I49">
        <v>0.60499999999999998</v>
      </c>
      <c r="J49">
        <v>0.60499999999999998</v>
      </c>
      <c r="K49" s="205"/>
      <c r="L49" s="109"/>
      <c r="M49" s="109"/>
      <c r="P49" s="108" t="s">
        <v>12</v>
      </c>
      <c r="Q49" s="108">
        <v>44440</v>
      </c>
      <c r="R49" s="6" t="s">
        <v>561</v>
      </c>
    </row>
    <row r="50" spans="1:18" x14ac:dyDescent="0.2">
      <c r="A50" t="s">
        <v>62</v>
      </c>
      <c r="B50" t="s">
        <v>595</v>
      </c>
      <c r="C50" s="69">
        <f>ROUND(C49*1.064,0)</f>
        <v>7952</v>
      </c>
      <c r="E50" s="108">
        <v>45413</v>
      </c>
      <c r="F50">
        <v>2024</v>
      </c>
      <c r="G50" s="109">
        <v>0.16666666666666666</v>
      </c>
      <c r="H50" s="109">
        <v>0.83333333333333337</v>
      </c>
      <c r="I50">
        <v>0.60499999999999998</v>
      </c>
      <c r="J50">
        <v>0.60499999999999998</v>
      </c>
      <c r="K50" s="6"/>
      <c r="L50" s="109"/>
      <c r="M50" s="109"/>
      <c r="P50" s="108" t="s">
        <v>14</v>
      </c>
      <c r="Q50" s="108">
        <v>44440</v>
      </c>
      <c r="R50" s="6" t="s">
        <v>562</v>
      </c>
    </row>
    <row r="51" spans="1:18" x14ac:dyDescent="0.2">
      <c r="A51" t="s">
        <v>62</v>
      </c>
      <c r="B51" s="6" t="s">
        <v>641</v>
      </c>
      <c r="C51" s="69">
        <f t="shared" ref="C51:C55" si="9">ROUND(C50*1.064,0)</f>
        <v>8461</v>
      </c>
      <c r="E51" s="108">
        <v>45444</v>
      </c>
      <c r="F51">
        <v>2024</v>
      </c>
      <c r="G51" s="109">
        <v>8.3333333333333329E-2</v>
      </c>
      <c r="H51" s="109">
        <v>0.91666666666666663</v>
      </c>
      <c r="I51">
        <v>0.60499999999999998</v>
      </c>
      <c r="J51">
        <v>0.60499999999999998</v>
      </c>
      <c r="K51" s="6"/>
      <c r="L51" s="109"/>
      <c r="M51" s="109"/>
      <c r="P51" s="108" t="s">
        <v>137</v>
      </c>
      <c r="Q51" s="108">
        <v>44440</v>
      </c>
      <c r="R51" s="6" t="s">
        <v>562</v>
      </c>
    </row>
    <row r="52" spans="1:18" x14ac:dyDescent="0.2">
      <c r="A52" t="s">
        <v>62</v>
      </c>
      <c r="B52" s="6" t="s">
        <v>662</v>
      </c>
      <c r="C52" s="69">
        <f t="shared" si="9"/>
        <v>9003</v>
      </c>
      <c r="E52" s="108">
        <v>45474</v>
      </c>
      <c r="F52">
        <v>2025</v>
      </c>
      <c r="G52" s="109">
        <v>1</v>
      </c>
      <c r="H52" s="109">
        <f t="shared" ref="H52" si="10">12/12-G52</f>
        <v>0</v>
      </c>
      <c r="I52">
        <v>0.60499999999999998</v>
      </c>
      <c r="J52">
        <v>0.60499999999999998</v>
      </c>
      <c r="K52" s="6"/>
      <c r="L52" s="109"/>
      <c r="M52" s="109"/>
      <c r="P52" s="108" t="s">
        <v>13</v>
      </c>
      <c r="Q52" s="108">
        <v>44440</v>
      </c>
      <c r="R52" s="6" t="s">
        <v>562</v>
      </c>
    </row>
    <row r="53" spans="1:18" x14ac:dyDescent="0.2">
      <c r="A53" t="s">
        <v>62</v>
      </c>
      <c r="B53" s="6" t="s">
        <v>798</v>
      </c>
      <c r="C53" s="69">
        <f t="shared" si="9"/>
        <v>9579</v>
      </c>
      <c r="E53" s="108">
        <v>45505</v>
      </c>
      <c r="F53">
        <v>2025</v>
      </c>
      <c r="G53" s="109">
        <v>0.91666666666666663</v>
      </c>
      <c r="H53" s="109">
        <v>8.3333333333333329E-2</v>
      </c>
      <c r="I53">
        <v>0.60499999999999998</v>
      </c>
      <c r="J53">
        <v>0.60499999999999998</v>
      </c>
      <c r="K53" s="6"/>
      <c r="L53" s="109"/>
      <c r="M53" s="109"/>
      <c r="P53" s="108" t="s">
        <v>131</v>
      </c>
      <c r="Q53" s="108">
        <v>44440</v>
      </c>
      <c r="R53" s="6" t="s">
        <v>562</v>
      </c>
    </row>
    <row r="54" spans="1:18" x14ac:dyDescent="0.2">
      <c r="A54" t="s">
        <v>62</v>
      </c>
      <c r="B54" s="6" t="s">
        <v>801</v>
      </c>
      <c r="C54" s="69">
        <f t="shared" si="9"/>
        <v>10192</v>
      </c>
      <c r="E54" s="108">
        <v>45536</v>
      </c>
      <c r="F54">
        <v>2025</v>
      </c>
      <c r="G54" s="109">
        <v>0.83333333333333337</v>
      </c>
      <c r="H54" s="109">
        <f t="shared" ref="H54:H64" si="11">12/12-G54</f>
        <v>0.16666666666666663</v>
      </c>
      <c r="I54">
        <v>0.60499999999999998</v>
      </c>
      <c r="J54">
        <v>0.60499999999999998</v>
      </c>
      <c r="K54" s="6"/>
      <c r="L54" s="109"/>
      <c r="M54" s="109"/>
      <c r="P54" s="127" t="s">
        <v>14</v>
      </c>
      <c r="Q54" s="108">
        <v>44470</v>
      </c>
      <c r="R54" s="6" t="s">
        <v>562</v>
      </c>
    </row>
    <row r="55" spans="1:18" x14ac:dyDescent="0.2">
      <c r="A55" t="s">
        <v>62</v>
      </c>
      <c r="B55" s="6" t="s">
        <v>875</v>
      </c>
      <c r="C55" s="69">
        <f t="shared" si="9"/>
        <v>10844</v>
      </c>
      <c r="E55" s="108">
        <v>45566</v>
      </c>
      <c r="F55">
        <v>2025</v>
      </c>
      <c r="G55" s="109">
        <v>0.75</v>
      </c>
      <c r="H55" s="109">
        <f t="shared" si="11"/>
        <v>0.25</v>
      </c>
      <c r="I55">
        <v>0.60499999999999998</v>
      </c>
      <c r="J55">
        <v>0.60499999999999998</v>
      </c>
      <c r="K55" s="6"/>
      <c r="L55" s="109"/>
      <c r="P55" s="108" t="s">
        <v>137</v>
      </c>
      <c r="Q55" s="108">
        <v>44470</v>
      </c>
      <c r="R55" s="6" t="s">
        <v>562</v>
      </c>
    </row>
    <row r="56" spans="1:18" x14ac:dyDescent="0.2">
      <c r="A56" t="s">
        <v>62</v>
      </c>
      <c r="B56" t="s">
        <v>132</v>
      </c>
      <c r="C56" s="69">
        <v>0</v>
      </c>
      <c r="E56" s="108">
        <v>45597</v>
      </c>
      <c r="F56">
        <v>2025</v>
      </c>
      <c r="G56" s="109">
        <v>0.66666666666666663</v>
      </c>
      <c r="H56" s="109">
        <f t="shared" si="11"/>
        <v>0.33333333333333337</v>
      </c>
      <c r="I56">
        <v>0.60499999999999998</v>
      </c>
      <c r="J56">
        <v>0.60499999999999998</v>
      </c>
      <c r="K56" s="6"/>
      <c r="P56" s="108" t="s">
        <v>13</v>
      </c>
      <c r="Q56" s="108">
        <v>44470</v>
      </c>
      <c r="R56" s="6" t="s">
        <v>562</v>
      </c>
    </row>
    <row r="57" spans="1:18" x14ac:dyDescent="0.2">
      <c r="A57" t="s">
        <v>63</v>
      </c>
      <c r="B57" t="s">
        <v>562</v>
      </c>
      <c r="C57" s="69">
        <v>6656.08</v>
      </c>
      <c r="E57" s="108">
        <v>45627</v>
      </c>
      <c r="F57">
        <v>2025</v>
      </c>
      <c r="G57" s="109">
        <v>0.58333333333333337</v>
      </c>
      <c r="H57" s="109">
        <f t="shared" si="11"/>
        <v>0.41666666666666663</v>
      </c>
      <c r="I57">
        <v>0.60499999999999998</v>
      </c>
      <c r="J57">
        <v>0.60499999999999998</v>
      </c>
      <c r="K57" s="6"/>
      <c r="P57" s="108" t="s">
        <v>12</v>
      </c>
      <c r="Q57" s="108">
        <v>44470</v>
      </c>
      <c r="R57" s="6" t="s">
        <v>562</v>
      </c>
    </row>
    <row r="58" spans="1:18" x14ac:dyDescent="0.2">
      <c r="A58" t="s">
        <v>63</v>
      </c>
      <c r="B58" t="s">
        <v>594</v>
      </c>
      <c r="C58" s="69">
        <f t="shared" ref="C58" si="12">ROUND(C57*1.04,0)</f>
        <v>6922</v>
      </c>
      <c r="E58" s="127">
        <v>45658</v>
      </c>
      <c r="F58">
        <v>2025</v>
      </c>
      <c r="G58" s="109">
        <v>0.5</v>
      </c>
      <c r="H58" s="109">
        <f t="shared" si="11"/>
        <v>0.5</v>
      </c>
      <c r="I58">
        <v>0.60499999999999998</v>
      </c>
      <c r="J58">
        <v>0.60499999999999998</v>
      </c>
      <c r="K58" s="6"/>
      <c r="P58" s="108" t="s">
        <v>131</v>
      </c>
      <c r="Q58" s="108">
        <v>44470</v>
      </c>
      <c r="R58" s="6" t="s">
        <v>562</v>
      </c>
    </row>
    <row r="59" spans="1:18" x14ac:dyDescent="0.2">
      <c r="A59" t="s">
        <v>63</v>
      </c>
      <c r="B59" t="s">
        <v>595</v>
      </c>
      <c r="C59" s="69">
        <f>ROUND(C58*1.064,0)</f>
        <v>7365</v>
      </c>
      <c r="E59" s="108">
        <v>45689</v>
      </c>
      <c r="F59">
        <v>2025</v>
      </c>
      <c r="G59" s="109">
        <v>0.41666666666666669</v>
      </c>
      <c r="H59" s="109">
        <f t="shared" si="11"/>
        <v>0.58333333333333326</v>
      </c>
      <c r="I59">
        <v>0.60499999999999998</v>
      </c>
      <c r="J59">
        <v>0.60499999999999998</v>
      </c>
      <c r="K59" s="6"/>
      <c r="P59" s="108" t="s">
        <v>141</v>
      </c>
      <c r="Q59" s="108">
        <v>44501</v>
      </c>
      <c r="R59" s="6" t="s">
        <v>562</v>
      </c>
    </row>
    <row r="60" spans="1:18" x14ac:dyDescent="0.2">
      <c r="A60" t="s">
        <v>63</v>
      </c>
      <c r="B60" s="6" t="s">
        <v>641</v>
      </c>
      <c r="C60" s="69">
        <f t="shared" ref="C60:C64" si="13">ROUND(C59*1.064,0)</f>
        <v>7836</v>
      </c>
      <c r="E60" s="108">
        <v>45717</v>
      </c>
      <c r="F60">
        <v>2025</v>
      </c>
      <c r="G60" s="109">
        <v>0.33333333333333331</v>
      </c>
      <c r="H60" s="109">
        <f t="shared" si="11"/>
        <v>0.66666666666666674</v>
      </c>
      <c r="I60">
        <v>0.60499999999999998</v>
      </c>
      <c r="J60">
        <v>0.60499999999999998</v>
      </c>
      <c r="K60" s="6"/>
      <c r="P60" s="108" t="s">
        <v>137</v>
      </c>
      <c r="Q60" s="108">
        <v>44501</v>
      </c>
      <c r="R60" s="6" t="s">
        <v>562</v>
      </c>
    </row>
    <row r="61" spans="1:18" x14ac:dyDescent="0.2">
      <c r="A61" t="s">
        <v>63</v>
      </c>
      <c r="B61" s="6" t="s">
        <v>662</v>
      </c>
      <c r="C61" s="69">
        <f t="shared" si="13"/>
        <v>8338</v>
      </c>
      <c r="E61" s="108">
        <v>45748</v>
      </c>
      <c r="F61">
        <v>2025</v>
      </c>
      <c r="G61" s="109">
        <v>0.25</v>
      </c>
      <c r="H61" s="109">
        <f t="shared" si="11"/>
        <v>0.75</v>
      </c>
      <c r="I61">
        <v>0.60499999999999998</v>
      </c>
      <c r="J61">
        <v>0.60499999999999998</v>
      </c>
      <c r="K61" s="6"/>
      <c r="P61" s="108" t="s">
        <v>13</v>
      </c>
      <c r="Q61" s="108">
        <v>44501</v>
      </c>
      <c r="R61" s="6" t="s">
        <v>562</v>
      </c>
    </row>
    <row r="62" spans="1:18" x14ac:dyDescent="0.2">
      <c r="A62" t="s">
        <v>63</v>
      </c>
      <c r="B62" s="6" t="s">
        <v>798</v>
      </c>
      <c r="C62" s="69">
        <f t="shared" si="13"/>
        <v>8872</v>
      </c>
      <c r="E62" s="108">
        <v>45778</v>
      </c>
      <c r="F62">
        <v>2025</v>
      </c>
      <c r="G62" s="109">
        <v>0.16666666666666666</v>
      </c>
      <c r="H62" s="109">
        <f t="shared" si="11"/>
        <v>0.83333333333333337</v>
      </c>
      <c r="I62">
        <v>0.60499999999999998</v>
      </c>
      <c r="J62">
        <v>0.60499999999999998</v>
      </c>
      <c r="P62" s="108" t="s">
        <v>12</v>
      </c>
      <c r="Q62" s="108">
        <v>44501</v>
      </c>
      <c r="R62" s="6" t="s">
        <v>562</v>
      </c>
    </row>
    <row r="63" spans="1:18" x14ac:dyDescent="0.2">
      <c r="A63" t="s">
        <v>63</v>
      </c>
      <c r="B63" s="6" t="s">
        <v>801</v>
      </c>
      <c r="C63" s="69">
        <f t="shared" si="13"/>
        <v>9440</v>
      </c>
      <c r="E63" s="108">
        <v>45809</v>
      </c>
      <c r="F63">
        <v>2025</v>
      </c>
      <c r="G63" s="109">
        <v>8.3333333333333329E-2</v>
      </c>
      <c r="H63" s="109">
        <f t="shared" si="11"/>
        <v>0.91666666666666663</v>
      </c>
      <c r="I63">
        <v>0.60499999999999998</v>
      </c>
      <c r="J63">
        <v>0.60499999999999998</v>
      </c>
      <c r="P63" s="108" t="s">
        <v>142</v>
      </c>
      <c r="Q63" s="108">
        <v>44501</v>
      </c>
      <c r="R63" s="6" t="s">
        <v>594</v>
      </c>
    </row>
    <row r="64" spans="1:18" x14ac:dyDescent="0.2">
      <c r="A64" t="s">
        <v>63</v>
      </c>
      <c r="B64" s="6" t="s">
        <v>875</v>
      </c>
      <c r="C64" s="69">
        <f t="shared" si="13"/>
        <v>10044</v>
      </c>
      <c r="E64" s="108">
        <v>45839</v>
      </c>
      <c r="F64">
        <v>2026</v>
      </c>
      <c r="G64" s="109">
        <v>1</v>
      </c>
      <c r="H64" s="109">
        <f t="shared" si="11"/>
        <v>0</v>
      </c>
      <c r="I64">
        <v>0.60499999999999998</v>
      </c>
      <c r="J64">
        <v>0.60499999999999998</v>
      </c>
      <c r="P64" s="108" t="s">
        <v>147</v>
      </c>
      <c r="Q64" s="108">
        <v>44531</v>
      </c>
      <c r="R64" s="6" t="s">
        <v>562</v>
      </c>
    </row>
    <row r="65" spans="1:18" x14ac:dyDescent="0.2">
      <c r="A65" t="s">
        <v>63</v>
      </c>
      <c r="B65" t="s">
        <v>132</v>
      </c>
      <c r="C65" s="69">
        <v>0</v>
      </c>
      <c r="E65" s="108">
        <v>45870</v>
      </c>
      <c r="F65">
        <v>2026</v>
      </c>
      <c r="G65" s="109">
        <v>0.91666666666666663</v>
      </c>
      <c r="H65" s="109">
        <v>8.3333333333333329E-2</v>
      </c>
      <c r="I65">
        <v>0.60499999999999998</v>
      </c>
      <c r="J65">
        <v>0.60499999999999998</v>
      </c>
      <c r="P65" s="108" t="s">
        <v>137</v>
      </c>
      <c r="Q65" s="108">
        <v>44531</v>
      </c>
      <c r="R65" s="6" t="s">
        <v>562</v>
      </c>
    </row>
    <row r="66" spans="1:18" x14ac:dyDescent="0.2">
      <c r="A66" s="6" t="s">
        <v>1023</v>
      </c>
      <c r="B66" t="s">
        <v>562</v>
      </c>
      <c r="C66" s="69">
        <v>6656.08</v>
      </c>
      <c r="E66" s="108">
        <v>45901</v>
      </c>
      <c r="F66">
        <v>2026</v>
      </c>
      <c r="G66" s="109">
        <v>0.83333333333333337</v>
      </c>
      <c r="H66" s="109">
        <f t="shared" ref="H66:H76" si="14">12/12-G66</f>
        <v>0.16666666666666663</v>
      </c>
      <c r="I66">
        <v>0.60499999999999998</v>
      </c>
      <c r="J66">
        <v>0.60499999999999998</v>
      </c>
      <c r="P66" s="108" t="s">
        <v>13</v>
      </c>
      <c r="Q66" s="108">
        <v>44531</v>
      </c>
      <c r="R66" s="6" t="s">
        <v>562</v>
      </c>
    </row>
    <row r="67" spans="1:18" x14ac:dyDescent="0.2">
      <c r="A67" s="6" t="s">
        <v>1023</v>
      </c>
      <c r="B67" t="s">
        <v>594</v>
      </c>
      <c r="C67" s="69">
        <f t="shared" ref="C67" si="15">ROUND(C66*1.04,0)</f>
        <v>6922</v>
      </c>
      <c r="E67" s="108">
        <v>45931</v>
      </c>
      <c r="F67">
        <v>2026</v>
      </c>
      <c r="G67" s="109">
        <v>0.75</v>
      </c>
      <c r="H67" s="109">
        <f t="shared" si="14"/>
        <v>0.25</v>
      </c>
      <c r="I67">
        <v>0.60499999999999998</v>
      </c>
      <c r="J67">
        <v>0.60499999999999998</v>
      </c>
      <c r="P67" s="108" t="s">
        <v>12</v>
      </c>
      <c r="Q67" s="108">
        <v>44531</v>
      </c>
      <c r="R67" s="6" t="s">
        <v>562</v>
      </c>
    </row>
    <row r="68" spans="1:18" x14ac:dyDescent="0.2">
      <c r="A68" s="6" t="s">
        <v>1023</v>
      </c>
      <c r="B68" t="s">
        <v>595</v>
      </c>
      <c r="C68" s="69">
        <f>ROUND(C67*1.064,0)</f>
        <v>7365</v>
      </c>
      <c r="E68" s="108">
        <v>45962</v>
      </c>
      <c r="F68">
        <v>2026</v>
      </c>
      <c r="G68" s="109">
        <v>0.66666666666666663</v>
      </c>
      <c r="H68" s="109">
        <f t="shared" si="14"/>
        <v>0.33333333333333337</v>
      </c>
      <c r="I68">
        <v>0.60499999999999998</v>
      </c>
      <c r="J68">
        <v>0.60499999999999998</v>
      </c>
      <c r="P68" s="108" t="s">
        <v>143</v>
      </c>
      <c r="Q68" s="108">
        <v>44531</v>
      </c>
      <c r="R68" s="6" t="s">
        <v>594</v>
      </c>
    </row>
    <row r="69" spans="1:18" x14ac:dyDescent="0.2">
      <c r="A69" s="6" t="s">
        <v>1023</v>
      </c>
      <c r="B69" s="6" t="s">
        <v>641</v>
      </c>
      <c r="C69" s="69">
        <f t="shared" ref="C69:C73" si="16">ROUND(C68*1.064,0)</f>
        <v>7836</v>
      </c>
      <c r="E69" s="108">
        <v>45992</v>
      </c>
      <c r="F69">
        <v>2026</v>
      </c>
      <c r="G69" s="109">
        <v>0.58333333333333337</v>
      </c>
      <c r="H69" s="109">
        <f t="shared" si="14"/>
        <v>0.41666666666666663</v>
      </c>
      <c r="I69">
        <v>0.60499999999999998</v>
      </c>
      <c r="J69">
        <v>0.60499999999999998</v>
      </c>
      <c r="P69" s="108" t="s">
        <v>137</v>
      </c>
      <c r="Q69" s="108">
        <v>44562</v>
      </c>
      <c r="R69" s="6" t="s">
        <v>562</v>
      </c>
    </row>
    <row r="70" spans="1:18" x14ac:dyDescent="0.2">
      <c r="A70" s="6" t="s">
        <v>1023</v>
      </c>
      <c r="B70" s="6" t="s">
        <v>662</v>
      </c>
      <c r="C70" s="69">
        <f t="shared" si="16"/>
        <v>8338</v>
      </c>
      <c r="E70" s="127">
        <v>46023</v>
      </c>
      <c r="F70">
        <v>2026</v>
      </c>
      <c r="G70" s="109">
        <v>0.5</v>
      </c>
      <c r="H70" s="109">
        <f t="shared" si="14"/>
        <v>0.5</v>
      </c>
      <c r="I70">
        <v>0.60499999999999998</v>
      </c>
      <c r="J70">
        <v>0.60499999999999998</v>
      </c>
      <c r="P70" s="108" t="s">
        <v>13</v>
      </c>
      <c r="Q70" s="108">
        <v>44562</v>
      </c>
      <c r="R70" s="6" t="s">
        <v>562</v>
      </c>
    </row>
    <row r="71" spans="1:18" x14ac:dyDescent="0.2">
      <c r="A71" s="6" t="s">
        <v>1023</v>
      </c>
      <c r="B71" s="6" t="s">
        <v>798</v>
      </c>
      <c r="C71" s="69">
        <f t="shared" si="16"/>
        <v>8872</v>
      </c>
      <c r="E71" s="108">
        <v>46054</v>
      </c>
      <c r="F71">
        <v>2026</v>
      </c>
      <c r="G71" s="109">
        <v>0.41666666666666669</v>
      </c>
      <c r="H71" s="109">
        <f t="shared" si="14"/>
        <v>0.58333333333333326</v>
      </c>
      <c r="I71">
        <v>0.60499999999999998</v>
      </c>
      <c r="J71">
        <v>0.60499999999999998</v>
      </c>
      <c r="P71" s="108" t="s">
        <v>12</v>
      </c>
      <c r="Q71" s="108">
        <v>44562</v>
      </c>
      <c r="R71" s="6" t="s">
        <v>562</v>
      </c>
    </row>
    <row r="72" spans="1:18" x14ac:dyDescent="0.2">
      <c r="A72" s="6" t="s">
        <v>1023</v>
      </c>
      <c r="B72" s="6" t="s">
        <v>801</v>
      </c>
      <c r="C72" s="69">
        <f t="shared" si="16"/>
        <v>9440</v>
      </c>
      <c r="E72" s="108">
        <v>46082</v>
      </c>
      <c r="F72">
        <v>2026</v>
      </c>
      <c r="G72" s="109">
        <v>0.33333333333333331</v>
      </c>
      <c r="H72" s="109">
        <f t="shared" si="14"/>
        <v>0.66666666666666674</v>
      </c>
      <c r="I72">
        <v>0.60499999999999998</v>
      </c>
      <c r="J72">
        <v>0.60499999999999998</v>
      </c>
      <c r="P72" s="108" t="s">
        <v>14</v>
      </c>
      <c r="Q72" s="108">
        <v>44562</v>
      </c>
      <c r="R72" s="6" t="s">
        <v>594</v>
      </c>
    </row>
    <row r="73" spans="1:18" x14ac:dyDescent="0.2">
      <c r="A73" s="6" t="s">
        <v>1023</v>
      </c>
      <c r="B73" s="6" t="s">
        <v>875</v>
      </c>
      <c r="C73" s="69">
        <f t="shared" si="16"/>
        <v>10044</v>
      </c>
      <c r="E73" s="108">
        <v>46113</v>
      </c>
      <c r="F73">
        <v>2026</v>
      </c>
      <c r="G73" s="109">
        <v>0.25</v>
      </c>
      <c r="H73" s="109">
        <f t="shared" si="14"/>
        <v>0.75</v>
      </c>
      <c r="I73">
        <v>0.60499999999999998</v>
      </c>
      <c r="J73">
        <v>0.60499999999999998</v>
      </c>
      <c r="P73" s="108" t="s">
        <v>131</v>
      </c>
      <c r="Q73" s="108">
        <v>44562</v>
      </c>
      <c r="R73" s="6" t="s">
        <v>594</v>
      </c>
    </row>
    <row r="74" spans="1:18" x14ac:dyDescent="0.2">
      <c r="A74" s="6" t="s">
        <v>1024</v>
      </c>
      <c r="B74" t="s">
        <v>132</v>
      </c>
      <c r="C74" s="69">
        <v>0</v>
      </c>
      <c r="E74" s="108">
        <v>46143</v>
      </c>
      <c r="F74">
        <v>2026</v>
      </c>
      <c r="G74" s="109">
        <v>0.16666666666666666</v>
      </c>
      <c r="H74" s="109">
        <f t="shared" si="14"/>
        <v>0.83333333333333337</v>
      </c>
      <c r="I74">
        <v>0.60499999999999998</v>
      </c>
      <c r="J74">
        <v>0.60499999999999998</v>
      </c>
      <c r="P74" s="108" t="s">
        <v>144</v>
      </c>
      <c r="Q74" s="108">
        <v>44593</v>
      </c>
      <c r="R74" s="6" t="s">
        <v>562</v>
      </c>
    </row>
    <row r="75" spans="1:18" x14ac:dyDescent="0.2">
      <c r="A75" s="6" t="s">
        <v>1024</v>
      </c>
      <c r="B75" t="s">
        <v>562</v>
      </c>
      <c r="C75" s="69">
        <v>7186.58</v>
      </c>
      <c r="E75" s="108">
        <v>46174</v>
      </c>
      <c r="F75">
        <v>2026</v>
      </c>
      <c r="G75" s="109">
        <v>8.3333333333333329E-2</v>
      </c>
      <c r="H75" s="109">
        <f t="shared" si="14"/>
        <v>0.91666666666666663</v>
      </c>
      <c r="I75">
        <v>0.60499999999999998</v>
      </c>
      <c r="J75">
        <v>0.60499999999999998</v>
      </c>
      <c r="P75" s="108" t="s">
        <v>13</v>
      </c>
      <c r="Q75" s="108">
        <v>44593</v>
      </c>
      <c r="R75" s="6" t="s">
        <v>562</v>
      </c>
    </row>
    <row r="76" spans="1:18" x14ac:dyDescent="0.2">
      <c r="A76" s="6" t="s">
        <v>1024</v>
      </c>
      <c r="B76" t="s">
        <v>594</v>
      </c>
      <c r="C76" s="69">
        <f t="shared" ref="C76" si="17">ROUND(C75*1.04,0)</f>
        <v>7474</v>
      </c>
      <c r="E76" s="108">
        <v>46204</v>
      </c>
      <c r="F76">
        <v>2027</v>
      </c>
      <c r="G76" s="109">
        <v>1</v>
      </c>
      <c r="H76" s="109">
        <f t="shared" si="14"/>
        <v>0</v>
      </c>
      <c r="I76">
        <v>0.60499999999999998</v>
      </c>
      <c r="J76">
        <v>0.60499999999999998</v>
      </c>
      <c r="P76" s="108" t="s">
        <v>12</v>
      </c>
      <c r="Q76" s="108">
        <v>44593</v>
      </c>
      <c r="R76" s="6" t="s">
        <v>562</v>
      </c>
    </row>
    <row r="77" spans="1:18" x14ac:dyDescent="0.2">
      <c r="A77" s="6" t="s">
        <v>1024</v>
      </c>
      <c r="B77" t="s">
        <v>595</v>
      </c>
      <c r="C77" s="69">
        <f>ROUND(C76*1.064,0)</f>
        <v>7952</v>
      </c>
      <c r="E77" s="108">
        <v>46235</v>
      </c>
      <c r="F77">
        <v>2027</v>
      </c>
      <c r="G77" s="109">
        <v>0.91666666666666663</v>
      </c>
      <c r="H77" s="109">
        <v>8.3333333333333329E-2</v>
      </c>
      <c r="I77">
        <v>0.60499999999999998</v>
      </c>
      <c r="J77">
        <v>0.60499999999999998</v>
      </c>
      <c r="P77" s="108" t="s">
        <v>14</v>
      </c>
      <c r="Q77" s="108">
        <v>44593</v>
      </c>
      <c r="R77" s="6" t="s">
        <v>594</v>
      </c>
    </row>
    <row r="78" spans="1:18" x14ac:dyDescent="0.2">
      <c r="A78" s="6" t="s">
        <v>1024</v>
      </c>
      <c r="B78" s="6" t="s">
        <v>641</v>
      </c>
      <c r="C78" s="69">
        <f t="shared" ref="C78:C82" si="18">ROUND(C77*1.064,0)</f>
        <v>8461</v>
      </c>
      <c r="E78" s="108">
        <v>46266</v>
      </c>
      <c r="F78">
        <v>2027</v>
      </c>
      <c r="G78" s="109">
        <v>0.83333333333333337</v>
      </c>
      <c r="H78" s="109">
        <f t="shared" ref="H78:H88" si="19">12/12-G78</f>
        <v>0.16666666666666663</v>
      </c>
      <c r="I78">
        <v>0.60499999999999998</v>
      </c>
      <c r="J78">
        <v>0.60499999999999998</v>
      </c>
      <c r="P78" s="108" t="s">
        <v>145</v>
      </c>
      <c r="Q78" s="108">
        <v>44593</v>
      </c>
      <c r="R78" s="6" t="s">
        <v>594</v>
      </c>
    </row>
    <row r="79" spans="1:18" x14ac:dyDescent="0.2">
      <c r="A79" s="6" t="s">
        <v>1024</v>
      </c>
      <c r="B79" s="6" t="s">
        <v>662</v>
      </c>
      <c r="C79" s="69">
        <f t="shared" si="18"/>
        <v>9003</v>
      </c>
      <c r="E79" s="108">
        <v>46296</v>
      </c>
      <c r="F79">
        <v>2027</v>
      </c>
      <c r="G79" s="109">
        <v>0.75</v>
      </c>
      <c r="H79" s="109">
        <f t="shared" si="19"/>
        <v>0.25</v>
      </c>
      <c r="I79">
        <v>0.60499999999999998</v>
      </c>
      <c r="J79">
        <v>0.60499999999999998</v>
      </c>
      <c r="P79" s="108" t="s">
        <v>146</v>
      </c>
      <c r="Q79" s="108">
        <v>44621</v>
      </c>
      <c r="R79" s="6" t="s">
        <v>562</v>
      </c>
    </row>
    <row r="80" spans="1:18" x14ac:dyDescent="0.2">
      <c r="A80" s="6" t="s">
        <v>1024</v>
      </c>
      <c r="B80" s="6" t="s">
        <v>798</v>
      </c>
      <c r="C80" s="69">
        <f t="shared" si="18"/>
        <v>9579</v>
      </c>
      <c r="E80" s="108">
        <v>46327</v>
      </c>
      <c r="F80">
        <v>2027</v>
      </c>
      <c r="G80" s="109">
        <v>0.66666666666666663</v>
      </c>
      <c r="H80" s="109">
        <f t="shared" si="19"/>
        <v>0.33333333333333337</v>
      </c>
      <c r="I80">
        <v>0.60499999999999998</v>
      </c>
      <c r="J80">
        <v>0.60499999999999998</v>
      </c>
      <c r="P80" s="108" t="s">
        <v>13</v>
      </c>
      <c r="Q80" s="108">
        <v>44621</v>
      </c>
      <c r="R80" s="6" t="s">
        <v>562</v>
      </c>
    </row>
    <row r="81" spans="1:18" x14ac:dyDescent="0.2">
      <c r="A81" s="6" t="s">
        <v>1024</v>
      </c>
      <c r="B81" s="6" t="s">
        <v>801</v>
      </c>
      <c r="C81" s="69">
        <f t="shared" si="18"/>
        <v>10192</v>
      </c>
      <c r="E81" s="108">
        <v>46357</v>
      </c>
      <c r="F81">
        <v>2027</v>
      </c>
      <c r="G81" s="109">
        <v>0.58333333333333337</v>
      </c>
      <c r="H81" s="109">
        <f t="shared" si="19"/>
        <v>0.41666666666666663</v>
      </c>
      <c r="I81">
        <v>0.60499999999999998</v>
      </c>
      <c r="J81">
        <v>0.60499999999999998</v>
      </c>
      <c r="P81" s="108" t="s">
        <v>12</v>
      </c>
      <c r="Q81" s="108">
        <v>44621</v>
      </c>
      <c r="R81" s="6" t="s">
        <v>562</v>
      </c>
    </row>
    <row r="82" spans="1:18" x14ac:dyDescent="0.2">
      <c r="A82" s="6" t="s">
        <v>1024</v>
      </c>
      <c r="B82" s="6" t="s">
        <v>875</v>
      </c>
      <c r="C82" s="69">
        <f t="shared" si="18"/>
        <v>10844</v>
      </c>
      <c r="E82" s="108">
        <v>46388</v>
      </c>
      <c r="F82">
        <v>2027</v>
      </c>
      <c r="G82" s="109">
        <v>0.5</v>
      </c>
      <c r="H82" s="109">
        <f t="shared" si="19"/>
        <v>0.5</v>
      </c>
      <c r="I82">
        <v>0.60499999999999998</v>
      </c>
      <c r="J82">
        <v>0.60499999999999998</v>
      </c>
      <c r="P82" t="s">
        <v>14</v>
      </c>
      <c r="Q82" s="108">
        <v>44621</v>
      </c>
      <c r="R82" s="6" t="s">
        <v>594</v>
      </c>
    </row>
    <row r="83" spans="1:18" x14ac:dyDescent="0.2">
      <c r="A83" s="6" t="s">
        <v>1024</v>
      </c>
      <c r="B83" t="s">
        <v>132</v>
      </c>
      <c r="C83" s="69">
        <v>0</v>
      </c>
      <c r="E83" s="108">
        <v>46419</v>
      </c>
      <c r="F83">
        <v>2027</v>
      </c>
      <c r="G83" s="109">
        <v>0.41666666666666669</v>
      </c>
      <c r="H83" s="109">
        <f t="shared" si="19"/>
        <v>0.58333333333333326</v>
      </c>
      <c r="I83">
        <v>0.60499999999999998</v>
      </c>
      <c r="J83">
        <v>0.60499999999999998</v>
      </c>
      <c r="P83" t="s">
        <v>148</v>
      </c>
      <c r="Q83" s="108">
        <v>44621</v>
      </c>
      <c r="R83" s="6" t="s">
        <v>594</v>
      </c>
    </row>
    <row r="84" spans="1:18" x14ac:dyDescent="0.2">
      <c r="A84" s="6" t="s">
        <v>1025</v>
      </c>
      <c r="B84" t="s">
        <v>562</v>
      </c>
      <c r="C84" s="110">
        <v>7186.58</v>
      </c>
      <c r="E84" s="108">
        <v>46447</v>
      </c>
      <c r="F84">
        <v>2027</v>
      </c>
      <c r="G84" s="109">
        <v>0.33333333333333331</v>
      </c>
      <c r="H84" s="109">
        <f t="shared" si="19"/>
        <v>0.66666666666666674</v>
      </c>
      <c r="I84">
        <v>0.60499999999999998</v>
      </c>
      <c r="J84">
        <v>0.60499999999999998</v>
      </c>
      <c r="P84" t="s">
        <v>149</v>
      </c>
      <c r="Q84" s="108">
        <v>44652</v>
      </c>
      <c r="R84" s="6" t="s">
        <v>562</v>
      </c>
    </row>
    <row r="85" spans="1:18" x14ac:dyDescent="0.2">
      <c r="A85" s="6" t="s">
        <v>1025</v>
      </c>
      <c r="B85" t="s">
        <v>594</v>
      </c>
      <c r="C85" s="69">
        <f t="shared" ref="C85" si="20">ROUND(C84*1.04,0)</f>
        <v>7474</v>
      </c>
      <c r="E85" s="108">
        <v>46478</v>
      </c>
      <c r="F85">
        <v>2027</v>
      </c>
      <c r="G85" s="109">
        <v>0.25</v>
      </c>
      <c r="H85" s="109">
        <f t="shared" si="19"/>
        <v>0.75</v>
      </c>
      <c r="I85">
        <v>0.60499999999999998</v>
      </c>
      <c r="J85">
        <v>0.60499999999999998</v>
      </c>
      <c r="P85" t="s">
        <v>13</v>
      </c>
      <c r="Q85" s="108">
        <v>44652</v>
      </c>
      <c r="R85" s="6" t="s">
        <v>562</v>
      </c>
    </row>
    <row r="86" spans="1:18" x14ac:dyDescent="0.2">
      <c r="A86" s="6" t="s">
        <v>1025</v>
      </c>
      <c r="B86" t="s">
        <v>595</v>
      </c>
      <c r="C86" s="69">
        <f>ROUND(C85*1.064,0)</f>
        <v>7952</v>
      </c>
      <c r="E86" s="108">
        <v>46508</v>
      </c>
      <c r="F86">
        <v>2027</v>
      </c>
      <c r="G86" s="109">
        <v>0.16666666666666666</v>
      </c>
      <c r="H86" s="109">
        <f t="shared" si="19"/>
        <v>0.83333333333333337</v>
      </c>
      <c r="I86">
        <v>0.60499999999999998</v>
      </c>
      <c r="J86">
        <v>0.60499999999999998</v>
      </c>
      <c r="P86" t="s">
        <v>12</v>
      </c>
      <c r="Q86" s="108">
        <v>44652</v>
      </c>
      <c r="R86" s="6" t="s">
        <v>562</v>
      </c>
    </row>
    <row r="87" spans="1:18" x14ac:dyDescent="0.2">
      <c r="A87" s="6" t="s">
        <v>1025</v>
      </c>
      <c r="B87" s="6" t="s">
        <v>641</v>
      </c>
      <c r="C87" s="69">
        <f t="shared" ref="C87:C91" si="21">ROUND(C86*1.064,0)</f>
        <v>8461</v>
      </c>
      <c r="E87" s="108">
        <v>46539</v>
      </c>
      <c r="F87">
        <v>2027</v>
      </c>
      <c r="G87" s="109">
        <v>8.3333333333333329E-2</v>
      </c>
      <c r="H87" s="109">
        <f t="shared" si="19"/>
        <v>0.91666666666666663</v>
      </c>
      <c r="I87">
        <v>0.60499999999999998</v>
      </c>
      <c r="J87">
        <v>0.60499999999999998</v>
      </c>
      <c r="P87" t="s">
        <v>14</v>
      </c>
      <c r="Q87" s="108">
        <v>44652</v>
      </c>
      <c r="R87" s="6" t="s">
        <v>594</v>
      </c>
    </row>
    <row r="88" spans="1:18" x14ac:dyDescent="0.2">
      <c r="A88" s="6" t="s">
        <v>1025</v>
      </c>
      <c r="B88" s="6" t="s">
        <v>662</v>
      </c>
      <c r="C88" s="69">
        <f t="shared" si="21"/>
        <v>9003</v>
      </c>
      <c r="E88" s="108">
        <v>46569</v>
      </c>
      <c r="F88">
        <v>2028</v>
      </c>
      <c r="G88" s="109">
        <v>1</v>
      </c>
      <c r="H88" s="109">
        <f t="shared" si="19"/>
        <v>0</v>
      </c>
      <c r="I88">
        <v>0.60499999999999998</v>
      </c>
      <c r="J88">
        <v>0.60499999999999998</v>
      </c>
      <c r="P88" t="s">
        <v>150</v>
      </c>
      <c r="Q88" s="108">
        <v>44652</v>
      </c>
      <c r="R88" s="6" t="s">
        <v>594</v>
      </c>
    </row>
    <row r="89" spans="1:18" x14ac:dyDescent="0.2">
      <c r="A89" s="6" t="s">
        <v>1025</v>
      </c>
      <c r="B89" s="6" t="s">
        <v>798</v>
      </c>
      <c r="C89" s="69">
        <f t="shared" si="21"/>
        <v>9579</v>
      </c>
      <c r="E89" s="108">
        <v>46600</v>
      </c>
      <c r="F89">
        <v>2028</v>
      </c>
      <c r="G89" s="109">
        <v>0.91666666666666663</v>
      </c>
      <c r="H89" s="109">
        <v>8.3333333333333329E-2</v>
      </c>
      <c r="I89">
        <v>0.60499999999999998</v>
      </c>
      <c r="J89">
        <v>0.60499999999999998</v>
      </c>
      <c r="P89" t="s">
        <v>151</v>
      </c>
      <c r="Q89" s="108">
        <v>44682</v>
      </c>
      <c r="R89" s="6" t="s">
        <v>562</v>
      </c>
    </row>
    <row r="90" spans="1:18" x14ac:dyDescent="0.2">
      <c r="A90" s="6" t="s">
        <v>1025</v>
      </c>
      <c r="B90" s="6" t="s">
        <v>801</v>
      </c>
      <c r="C90" s="69">
        <f t="shared" si="21"/>
        <v>10192</v>
      </c>
      <c r="E90" s="108">
        <v>46631</v>
      </c>
      <c r="F90">
        <v>2028</v>
      </c>
      <c r="G90" s="109">
        <v>0.83333333333333337</v>
      </c>
      <c r="H90" s="109">
        <f t="shared" ref="H90:H99" si="22">12/12-G90</f>
        <v>0.16666666666666663</v>
      </c>
      <c r="I90">
        <v>0.60499999999999998</v>
      </c>
      <c r="J90">
        <v>0.60499999999999998</v>
      </c>
      <c r="P90" t="s">
        <v>13</v>
      </c>
      <c r="Q90" s="108">
        <v>44682</v>
      </c>
      <c r="R90" s="6" t="s">
        <v>562</v>
      </c>
    </row>
    <row r="91" spans="1:18" x14ac:dyDescent="0.2">
      <c r="A91" s="6" t="s">
        <v>1025</v>
      </c>
      <c r="B91" s="6" t="s">
        <v>875</v>
      </c>
      <c r="C91" s="69">
        <f t="shared" si="21"/>
        <v>10844</v>
      </c>
      <c r="E91" s="108">
        <v>46661</v>
      </c>
      <c r="F91">
        <v>2028</v>
      </c>
      <c r="G91" s="109">
        <v>0.75</v>
      </c>
      <c r="H91" s="109">
        <f t="shared" si="22"/>
        <v>0.25</v>
      </c>
      <c r="I91">
        <v>0.60499999999999998</v>
      </c>
      <c r="J91">
        <v>0.60499999999999998</v>
      </c>
      <c r="P91" t="s">
        <v>12</v>
      </c>
      <c r="Q91" s="108">
        <v>44682</v>
      </c>
      <c r="R91" s="6" t="s">
        <v>562</v>
      </c>
    </row>
    <row r="92" spans="1:18" x14ac:dyDescent="0.2">
      <c r="A92" s="6" t="s">
        <v>1025</v>
      </c>
      <c r="B92" t="s">
        <v>132</v>
      </c>
      <c r="C92">
        <v>0</v>
      </c>
      <c r="E92" s="108">
        <v>46692</v>
      </c>
      <c r="F92">
        <v>2028</v>
      </c>
      <c r="G92" s="109">
        <v>0.66666666666666663</v>
      </c>
      <c r="H92" s="109">
        <f t="shared" si="22"/>
        <v>0.33333333333333337</v>
      </c>
      <c r="I92">
        <v>0.60499999999999998</v>
      </c>
      <c r="J92">
        <v>0.60499999999999998</v>
      </c>
      <c r="P92" s="6" t="s">
        <v>14</v>
      </c>
      <c r="Q92" s="108">
        <v>44682</v>
      </c>
      <c r="R92" s="6" t="s">
        <v>594</v>
      </c>
    </row>
    <row r="93" spans="1:18" x14ac:dyDescent="0.2">
      <c r="A93" s="6" t="s">
        <v>1026</v>
      </c>
      <c r="B93" t="s">
        <v>562</v>
      </c>
      <c r="C93" s="69">
        <v>7186.58</v>
      </c>
      <c r="E93" s="108">
        <v>46722</v>
      </c>
      <c r="F93">
        <v>2028</v>
      </c>
      <c r="G93" s="109">
        <v>0.58333333333333337</v>
      </c>
      <c r="H93" s="109">
        <f t="shared" si="22"/>
        <v>0.41666666666666663</v>
      </c>
      <c r="I93">
        <v>0.60499999999999998</v>
      </c>
      <c r="J93">
        <v>0.60499999999999998</v>
      </c>
      <c r="P93" t="s">
        <v>152</v>
      </c>
      <c r="Q93" s="108">
        <v>44682</v>
      </c>
      <c r="R93" s="6" t="s">
        <v>594</v>
      </c>
    </row>
    <row r="94" spans="1:18" x14ac:dyDescent="0.2">
      <c r="A94" s="6" t="s">
        <v>1026</v>
      </c>
      <c r="B94" t="s">
        <v>594</v>
      </c>
      <c r="C94" s="69">
        <f t="shared" ref="C94" si="23">ROUND(C93*1.04,0)</f>
        <v>7474</v>
      </c>
      <c r="E94" s="108">
        <v>46753</v>
      </c>
      <c r="F94">
        <v>2028</v>
      </c>
      <c r="G94" s="109">
        <v>0.5</v>
      </c>
      <c r="H94" s="109">
        <f t="shared" si="22"/>
        <v>0.5</v>
      </c>
      <c r="I94">
        <v>0.60499999999999998</v>
      </c>
      <c r="J94">
        <v>0.60499999999999998</v>
      </c>
      <c r="P94" t="s">
        <v>13</v>
      </c>
      <c r="Q94" s="108">
        <v>44713</v>
      </c>
      <c r="R94" s="6" t="s">
        <v>562</v>
      </c>
    </row>
    <row r="95" spans="1:18" x14ac:dyDescent="0.2">
      <c r="A95" s="6" t="s">
        <v>1026</v>
      </c>
      <c r="B95" t="s">
        <v>595</v>
      </c>
      <c r="C95" s="69">
        <f>ROUND(C94*1.064,0)</f>
        <v>7952</v>
      </c>
      <c r="E95" s="108">
        <v>46784</v>
      </c>
      <c r="F95">
        <v>2028</v>
      </c>
      <c r="G95" s="109">
        <v>0.41666666666666669</v>
      </c>
      <c r="H95" s="109">
        <f t="shared" si="22"/>
        <v>0.58333333333333326</v>
      </c>
      <c r="I95">
        <v>0.60499999999999998</v>
      </c>
      <c r="J95">
        <v>0.60499999999999998</v>
      </c>
      <c r="P95" t="s">
        <v>12</v>
      </c>
      <c r="Q95" s="108">
        <v>44713</v>
      </c>
      <c r="R95" s="6" t="s">
        <v>562</v>
      </c>
    </row>
    <row r="96" spans="1:18" x14ac:dyDescent="0.2">
      <c r="A96" s="6" t="s">
        <v>1026</v>
      </c>
      <c r="B96" s="6" t="s">
        <v>641</v>
      </c>
      <c r="C96" s="69">
        <f t="shared" ref="C96:C100" si="24">ROUND(C95*1.064,0)</f>
        <v>8461</v>
      </c>
      <c r="E96" s="108">
        <v>46813</v>
      </c>
      <c r="F96">
        <v>2028</v>
      </c>
      <c r="G96" s="109">
        <v>0.33333333333333331</v>
      </c>
      <c r="H96" s="109">
        <f t="shared" si="22"/>
        <v>0.66666666666666674</v>
      </c>
      <c r="I96">
        <v>0.60499999999999998</v>
      </c>
      <c r="J96">
        <v>0.60499999999999998</v>
      </c>
      <c r="P96" t="s">
        <v>14</v>
      </c>
      <c r="Q96" s="108">
        <v>44713</v>
      </c>
      <c r="R96" s="6" t="s">
        <v>594</v>
      </c>
    </row>
    <row r="97" spans="1:18" x14ac:dyDescent="0.2">
      <c r="A97" s="6" t="s">
        <v>1026</v>
      </c>
      <c r="B97" s="6" t="s">
        <v>662</v>
      </c>
      <c r="C97" s="69">
        <f t="shared" si="24"/>
        <v>9003</v>
      </c>
      <c r="E97" s="108">
        <v>46844</v>
      </c>
      <c r="F97">
        <v>2028</v>
      </c>
      <c r="G97" s="109">
        <v>0.25</v>
      </c>
      <c r="H97" s="109">
        <f t="shared" si="22"/>
        <v>0.75</v>
      </c>
      <c r="I97">
        <v>0.60499999999999998</v>
      </c>
      <c r="J97">
        <v>0.60499999999999998</v>
      </c>
      <c r="P97" t="s">
        <v>137</v>
      </c>
      <c r="Q97" s="108">
        <v>44713</v>
      </c>
      <c r="R97" s="6" t="s">
        <v>594</v>
      </c>
    </row>
    <row r="98" spans="1:18" x14ac:dyDescent="0.2">
      <c r="A98" s="6" t="s">
        <v>1026</v>
      </c>
      <c r="B98" s="6" t="s">
        <v>798</v>
      </c>
      <c r="C98" s="69">
        <f t="shared" si="24"/>
        <v>9579</v>
      </c>
      <c r="E98" s="108">
        <v>46874</v>
      </c>
      <c r="F98">
        <v>2028</v>
      </c>
      <c r="G98" s="109">
        <v>0.16666666666666666</v>
      </c>
      <c r="H98" s="109">
        <f t="shared" si="22"/>
        <v>0.83333333333333337</v>
      </c>
      <c r="I98">
        <v>0.60499999999999998</v>
      </c>
      <c r="J98">
        <v>0.60499999999999998</v>
      </c>
      <c r="P98" t="s">
        <v>131</v>
      </c>
      <c r="Q98" s="108">
        <v>44713</v>
      </c>
      <c r="R98" s="6" t="s">
        <v>594</v>
      </c>
    </row>
    <row r="99" spans="1:18" x14ac:dyDescent="0.2">
      <c r="A99" s="6" t="s">
        <v>1026</v>
      </c>
      <c r="B99" s="6" t="s">
        <v>801</v>
      </c>
      <c r="C99" s="69">
        <f t="shared" si="24"/>
        <v>10192</v>
      </c>
      <c r="E99" s="108">
        <v>46905</v>
      </c>
      <c r="F99">
        <v>2028</v>
      </c>
      <c r="G99" s="109">
        <v>8.3333333333333329E-2</v>
      </c>
      <c r="H99" s="109">
        <f t="shared" si="22"/>
        <v>0.91666666666666663</v>
      </c>
      <c r="I99">
        <v>0.60499999999999998</v>
      </c>
      <c r="J99">
        <v>0.60499999999999998</v>
      </c>
      <c r="P99" s="108" t="s">
        <v>138</v>
      </c>
      <c r="Q99" s="108">
        <v>44743</v>
      </c>
      <c r="R99" s="6" t="s">
        <v>562</v>
      </c>
    </row>
    <row r="100" spans="1:18" x14ac:dyDescent="0.2">
      <c r="A100" s="6" t="s">
        <v>1026</v>
      </c>
      <c r="B100" s="6" t="s">
        <v>875</v>
      </c>
      <c r="C100" s="69">
        <f t="shared" si="24"/>
        <v>10844</v>
      </c>
      <c r="E100" s="108">
        <v>46935</v>
      </c>
      <c r="F100">
        <v>2029</v>
      </c>
      <c r="G100" s="109">
        <v>1</v>
      </c>
      <c r="H100" s="109">
        <f t="shared" ref="H100" si="25">12/12-G100</f>
        <v>0</v>
      </c>
      <c r="I100">
        <v>0.60499999999999998</v>
      </c>
      <c r="J100">
        <v>0.60499999999999998</v>
      </c>
      <c r="P100" s="108" t="s">
        <v>12</v>
      </c>
      <c r="Q100" s="108">
        <v>44743</v>
      </c>
      <c r="R100" s="6" t="s">
        <v>562</v>
      </c>
    </row>
    <row r="101" spans="1:18" x14ac:dyDescent="0.2">
      <c r="A101" s="6" t="s">
        <v>1026</v>
      </c>
      <c r="B101" t="s">
        <v>132</v>
      </c>
      <c r="C101" s="69">
        <v>0</v>
      </c>
      <c r="E101" s="108">
        <v>46966</v>
      </c>
      <c r="F101">
        <v>2029</v>
      </c>
      <c r="G101" s="109">
        <v>0.91666666666666663</v>
      </c>
      <c r="H101" s="109">
        <v>8.3333333333333329E-2</v>
      </c>
      <c r="I101">
        <v>0.60499999999999998</v>
      </c>
      <c r="J101">
        <v>0.60499999999999998</v>
      </c>
      <c r="P101" s="108" t="s">
        <v>14</v>
      </c>
      <c r="Q101" s="108">
        <v>44743</v>
      </c>
      <c r="R101" s="6" t="s">
        <v>594</v>
      </c>
    </row>
    <row r="102" spans="1:18" x14ac:dyDescent="0.2">
      <c r="A102" s="6" t="s">
        <v>1027</v>
      </c>
      <c r="B102" t="s">
        <v>562</v>
      </c>
      <c r="C102" s="110">
        <v>7186.58</v>
      </c>
      <c r="E102" s="108">
        <v>46997</v>
      </c>
      <c r="F102">
        <v>2029</v>
      </c>
      <c r="G102" s="109">
        <v>0.83333333333333337</v>
      </c>
      <c r="H102" s="109">
        <f t="shared" ref="H102:H112" si="26">12/12-G102</f>
        <v>0.16666666666666663</v>
      </c>
      <c r="I102">
        <v>0.60499999999999998</v>
      </c>
      <c r="J102">
        <v>0.60499999999999998</v>
      </c>
      <c r="P102" s="108" t="s">
        <v>137</v>
      </c>
      <c r="Q102" s="108">
        <v>44743</v>
      </c>
      <c r="R102" s="6" t="s">
        <v>594</v>
      </c>
    </row>
    <row r="103" spans="1:18" x14ac:dyDescent="0.2">
      <c r="A103" s="6" t="s">
        <v>1027</v>
      </c>
      <c r="B103" t="s">
        <v>594</v>
      </c>
      <c r="C103" s="69">
        <f t="shared" ref="C103" si="27">ROUND(C102*1.04,0)</f>
        <v>7474</v>
      </c>
      <c r="E103" s="108">
        <v>47027</v>
      </c>
      <c r="F103">
        <v>2029</v>
      </c>
      <c r="G103" s="109">
        <v>0.75</v>
      </c>
      <c r="H103" s="109">
        <f t="shared" si="26"/>
        <v>0.25</v>
      </c>
      <c r="I103">
        <v>0.60499999999999998</v>
      </c>
      <c r="J103">
        <v>0.60499999999999998</v>
      </c>
      <c r="P103" s="108" t="s">
        <v>204</v>
      </c>
      <c r="Q103" s="108">
        <v>44743</v>
      </c>
      <c r="R103" s="6" t="s">
        <v>594</v>
      </c>
    </row>
    <row r="104" spans="1:18" x14ac:dyDescent="0.2">
      <c r="A104" s="6" t="s">
        <v>1027</v>
      </c>
      <c r="B104" t="s">
        <v>595</v>
      </c>
      <c r="C104" s="69">
        <f>ROUND(C103*1.064,0)</f>
        <v>7952</v>
      </c>
      <c r="E104" s="108">
        <v>47058</v>
      </c>
      <c r="F104">
        <v>2029</v>
      </c>
      <c r="G104" s="109">
        <v>0.66666666666666663</v>
      </c>
      <c r="H104" s="109">
        <f t="shared" si="26"/>
        <v>0.33333333333333337</v>
      </c>
      <c r="I104">
        <v>0.60499999999999998</v>
      </c>
      <c r="J104">
        <v>0.60499999999999998</v>
      </c>
      <c r="P104" s="108" t="s">
        <v>139</v>
      </c>
      <c r="Q104" s="108">
        <v>44774</v>
      </c>
      <c r="R104" s="6" t="s">
        <v>562</v>
      </c>
    </row>
    <row r="105" spans="1:18" x14ac:dyDescent="0.2">
      <c r="A105" s="6" t="s">
        <v>1027</v>
      </c>
      <c r="B105" s="6" t="s">
        <v>641</v>
      </c>
      <c r="C105" s="69">
        <f t="shared" ref="C105:C109" si="28">ROUND(C104*1.064,0)</f>
        <v>8461</v>
      </c>
      <c r="E105" s="108">
        <v>47088</v>
      </c>
      <c r="F105">
        <v>2029</v>
      </c>
      <c r="G105" s="109">
        <v>0.58333333333333337</v>
      </c>
      <c r="H105" s="109">
        <f t="shared" si="26"/>
        <v>0.41666666666666663</v>
      </c>
      <c r="I105">
        <v>0.60499999999999998</v>
      </c>
      <c r="J105">
        <v>0.60499999999999998</v>
      </c>
      <c r="P105" s="108" t="s">
        <v>12</v>
      </c>
      <c r="Q105" s="108">
        <v>44774</v>
      </c>
      <c r="R105" s="6" t="s">
        <v>562</v>
      </c>
    </row>
    <row r="106" spans="1:18" x14ac:dyDescent="0.2">
      <c r="A106" s="6" t="s">
        <v>1027</v>
      </c>
      <c r="B106" s="6" t="s">
        <v>662</v>
      </c>
      <c r="C106" s="69">
        <f t="shared" si="28"/>
        <v>9003</v>
      </c>
      <c r="E106" s="108">
        <v>47119</v>
      </c>
      <c r="F106">
        <v>2029</v>
      </c>
      <c r="G106" s="109">
        <v>0.5</v>
      </c>
      <c r="H106" s="109">
        <f t="shared" si="26"/>
        <v>0.5</v>
      </c>
      <c r="I106">
        <v>0.60499999999999998</v>
      </c>
      <c r="J106">
        <v>0.60499999999999998</v>
      </c>
      <c r="P106" s="108" t="s">
        <v>14</v>
      </c>
      <c r="Q106" s="108">
        <v>44774</v>
      </c>
      <c r="R106" s="6" t="s">
        <v>594</v>
      </c>
    </row>
    <row r="107" spans="1:18" x14ac:dyDescent="0.2">
      <c r="A107" s="6" t="s">
        <v>1027</v>
      </c>
      <c r="B107" s="6" t="s">
        <v>798</v>
      </c>
      <c r="C107" s="69">
        <f t="shared" si="28"/>
        <v>9579</v>
      </c>
      <c r="E107" s="108">
        <v>47150</v>
      </c>
      <c r="F107">
        <v>2029</v>
      </c>
      <c r="G107" s="109">
        <v>0.41666666666666669</v>
      </c>
      <c r="H107" s="109">
        <f t="shared" si="26"/>
        <v>0.58333333333333326</v>
      </c>
      <c r="I107">
        <v>0.60499999999999998</v>
      </c>
      <c r="J107">
        <v>0.60499999999999998</v>
      </c>
      <c r="P107" s="108" t="s">
        <v>137</v>
      </c>
      <c r="Q107" s="108">
        <v>44774</v>
      </c>
      <c r="R107" s="6" t="s">
        <v>594</v>
      </c>
    </row>
    <row r="108" spans="1:18" x14ac:dyDescent="0.2">
      <c r="A108" s="6" t="s">
        <v>1027</v>
      </c>
      <c r="B108" s="6" t="s">
        <v>801</v>
      </c>
      <c r="C108" s="69">
        <f t="shared" si="28"/>
        <v>10192</v>
      </c>
      <c r="E108" s="108">
        <v>47178</v>
      </c>
      <c r="F108">
        <v>2029</v>
      </c>
      <c r="G108" s="109">
        <v>0.33333333333333331</v>
      </c>
      <c r="H108" s="109">
        <f t="shared" si="26"/>
        <v>0.66666666666666674</v>
      </c>
      <c r="I108">
        <v>0.60499999999999998</v>
      </c>
      <c r="J108">
        <v>0.60499999999999998</v>
      </c>
      <c r="P108" s="108" t="s">
        <v>140</v>
      </c>
      <c r="Q108" s="108">
        <v>44774</v>
      </c>
      <c r="R108" s="6" t="s">
        <v>594</v>
      </c>
    </row>
    <row r="109" spans="1:18" x14ac:dyDescent="0.2">
      <c r="A109" s="6" t="s">
        <v>1027</v>
      </c>
      <c r="B109" s="6" t="s">
        <v>875</v>
      </c>
      <c r="C109" s="69">
        <f t="shared" si="28"/>
        <v>10844</v>
      </c>
      <c r="E109" s="108">
        <v>47209</v>
      </c>
      <c r="F109">
        <v>2029</v>
      </c>
      <c r="G109" s="109">
        <v>0.25</v>
      </c>
      <c r="H109" s="109">
        <f t="shared" si="26"/>
        <v>0.75</v>
      </c>
      <c r="I109">
        <v>0.60499999999999998</v>
      </c>
      <c r="J109">
        <v>0.60499999999999998</v>
      </c>
      <c r="P109" s="108" t="s">
        <v>12</v>
      </c>
      <c r="Q109" s="108">
        <v>44805</v>
      </c>
      <c r="R109" s="6" t="s">
        <v>562</v>
      </c>
    </row>
    <row r="110" spans="1:18" x14ac:dyDescent="0.2">
      <c r="A110" s="6" t="s">
        <v>1027</v>
      </c>
      <c r="B110" t="s">
        <v>132</v>
      </c>
      <c r="C110" s="69">
        <v>0</v>
      </c>
      <c r="E110" s="108">
        <v>47239</v>
      </c>
      <c r="F110">
        <v>2029</v>
      </c>
      <c r="G110" s="109">
        <v>0.16666666666666666</v>
      </c>
      <c r="H110" s="109">
        <f t="shared" si="26"/>
        <v>0.83333333333333337</v>
      </c>
      <c r="I110">
        <v>0.60499999999999998</v>
      </c>
      <c r="J110">
        <v>0.60499999999999998</v>
      </c>
      <c r="P110" s="108" t="s">
        <v>14</v>
      </c>
      <c r="Q110" s="108">
        <v>44805</v>
      </c>
      <c r="R110" s="6" t="s">
        <v>594</v>
      </c>
    </row>
    <row r="111" spans="1:18" x14ac:dyDescent="0.2">
      <c r="A111" s="6" t="s">
        <v>596</v>
      </c>
      <c r="B111" t="s">
        <v>562</v>
      </c>
      <c r="C111" s="110">
        <v>6161.75</v>
      </c>
      <c r="E111" s="108">
        <v>47270</v>
      </c>
      <c r="F111">
        <v>2029</v>
      </c>
      <c r="G111" s="109">
        <v>8.3333333333333329E-2</v>
      </c>
      <c r="H111" s="109">
        <f t="shared" si="26"/>
        <v>0.91666666666666663</v>
      </c>
      <c r="I111">
        <v>0.60499999999999998</v>
      </c>
      <c r="J111">
        <v>0.60499999999999998</v>
      </c>
      <c r="P111" s="108" t="s">
        <v>137</v>
      </c>
      <c r="Q111" s="108">
        <v>44805</v>
      </c>
      <c r="R111" s="6" t="s">
        <v>594</v>
      </c>
    </row>
    <row r="112" spans="1:18" x14ac:dyDescent="0.2">
      <c r="A112" s="6" t="s">
        <v>596</v>
      </c>
      <c r="B112" t="s">
        <v>594</v>
      </c>
      <c r="C112" s="69">
        <f t="shared" ref="C112" si="29">ROUND(C111*1.04,0)</f>
        <v>6408</v>
      </c>
      <c r="E112" s="108">
        <v>47300</v>
      </c>
      <c r="F112">
        <v>2030</v>
      </c>
      <c r="G112" s="109">
        <v>1</v>
      </c>
      <c r="H112" s="109">
        <f t="shared" si="26"/>
        <v>0</v>
      </c>
      <c r="I112">
        <v>0.60499999999999998</v>
      </c>
      <c r="J112">
        <v>0.60499999999999998</v>
      </c>
      <c r="P112" s="108" t="s">
        <v>13</v>
      </c>
      <c r="Q112" s="108">
        <v>44805</v>
      </c>
      <c r="R112" s="6" t="s">
        <v>594</v>
      </c>
    </row>
    <row r="113" spans="1:18" x14ac:dyDescent="0.2">
      <c r="A113" s="6" t="s">
        <v>596</v>
      </c>
      <c r="B113" t="s">
        <v>595</v>
      </c>
      <c r="C113" s="69">
        <f>ROUND(C112*1.064,0)</f>
        <v>6818</v>
      </c>
      <c r="E113" s="108">
        <v>47331</v>
      </c>
      <c r="F113">
        <v>2030</v>
      </c>
      <c r="G113" s="109">
        <v>0.91666666666666663</v>
      </c>
      <c r="H113" s="109">
        <v>8.3333333333333329E-2</v>
      </c>
      <c r="I113">
        <v>0.60499999999999998</v>
      </c>
      <c r="J113">
        <v>0.60499999999999998</v>
      </c>
      <c r="P113" s="108" t="s">
        <v>131</v>
      </c>
      <c r="Q113" s="108">
        <v>44805</v>
      </c>
      <c r="R113" s="6" t="s">
        <v>594</v>
      </c>
    </row>
    <row r="114" spans="1:18" x14ac:dyDescent="0.2">
      <c r="A114" s="6" t="s">
        <v>596</v>
      </c>
      <c r="B114" s="6" t="s">
        <v>641</v>
      </c>
      <c r="C114" s="69">
        <f t="shared" ref="C114:C118" si="30">ROUND(C113*1.064,0)</f>
        <v>7254</v>
      </c>
      <c r="E114" s="108">
        <v>47362</v>
      </c>
      <c r="F114">
        <v>2030</v>
      </c>
      <c r="G114" s="109">
        <v>0.83333333333333337</v>
      </c>
      <c r="H114" s="109">
        <f t="shared" ref="H114:H124" si="31">12/12-G114</f>
        <v>0.16666666666666663</v>
      </c>
      <c r="I114">
        <v>0.60499999999999998</v>
      </c>
      <c r="J114">
        <v>0.60499999999999998</v>
      </c>
      <c r="P114" s="127" t="s">
        <v>14</v>
      </c>
      <c r="Q114" s="108">
        <v>44835</v>
      </c>
      <c r="R114" s="6" t="s">
        <v>594</v>
      </c>
    </row>
    <row r="115" spans="1:18" x14ac:dyDescent="0.2">
      <c r="A115" s="6" t="s">
        <v>596</v>
      </c>
      <c r="B115" s="6" t="s">
        <v>662</v>
      </c>
      <c r="C115" s="69">
        <f t="shared" si="30"/>
        <v>7718</v>
      </c>
      <c r="E115" s="108">
        <v>47392</v>
      </c>
      <c r="F115">
        <v>2030</v>
      </c>
      <c r="G115" s="109">
        <v>0.75</v>
      </c>
      <c r="H115" s="109">
        <f t="shared" si="31"/>
        <v>0.25</v>
      </c>
      <c r="I115">
        <v>0.60499999999999998</v>
      </c>
      <c r="J115">
        <v>0.60499999999999998</v>
      </c>
      <c r="P115" s="108" t="s">
        <v>137</v>
      </c>
      <c r="Q115" s="108">
        <v>44835</v>
      </c>
      <c r="R115" s="6" t="s">
        <v>594</v>
      </c>
    </row>
    <row r="116" spans="1:18" x14ac:dyDescent="0.2">
      <c r="A116" s="6" t="s">
        <v>596</v>
      </c>
      <c r="B116" s="6" t="s">
        <v>798</v>
      </c>
      <c r="C116" s="69">
        <f t="shared" si="30"/>
        <v>8212</v>
      </c>
      <c r="E116" s="108">
        <v>47423</v>
      </c>
      <c r="F116">
        <v>2030</v>
      </c>
      <c r="G116" s="109">
        <v>0.66666666666666663</v>
      </c>
      <c r="H116" s="109">
        <f t="shared" si="31"/>
        <v>0.33333333333333337</v>
      </c>
      <c r="I116">
        <v>0.60499999999999998</v>
      </c>
      <c r="J116">
        <v>0.60499999999999998</v>
      </c>
      <c r="P116" s="108" t="s">
        <v>13</v>
      </c>
      <c r="Q116" s="108">
        <v>44835</v>
      </c>
      <c r="R116" s="6" t="s">
        <v>594</v>
      </c>
    </row>
    <row r="117" spans="1:18" x14ac:dyDescent="0.2">
      <c r="A117" s="6" t="s">
        <v>596</v>
      </c>
      <c r="B117" s="6" t="s">
        <v>801</v>
      </c>
      <c r="C117" s="69">
        <f t="shared" si="30"/>
        <v>8738</v>
      </c>
      <c r="E117" s="108">
        <v>47453</v>
      </c>
      <c r="F117">
        <v>2030</v>
      </c>
      <c r="G117" s="109">
        <v>0.58333333333333337</v>
      </c>
      <c r="H117" s="109">
        <f t="shared" si="31"/>
        <v>0.41666666666666663</v>
      </c>
      <c r="I117">
        <v>0.60499999999999998</v>
      </c>
      <c r="J117">
        <v>0.60499999999999998</v>
      </c>
      <c r="P117" s="108" t="s">
        <v>12</v>
      </c>
      <c r="Q117" s="108">
        <v>44835</v>
      </c>
      <c r="R117" s="6" t="s">
        <v>594</v>
      </c>
    </row>
    <row r="118" spans="1:18" x14ac:dyDescent="0.2">
      <c r="A118" s="6" t="s">
        <v>596</v>
      </c>
      <c r="B118" s="6" t="s">
        <v>875</v>
      </c>
      <c r="C118" s="69">
        <f t="shared" si="30"/>
        <v>9297</v>
      </c>
      <c r="E118" s="108">
        <v>47484</v>
      </c>
      <c r="F118">
        <v>2030</v>
      </c>
      <c r="G118" s="109">
        <v>0.5</v>
      </c>
      <c r="H118" s="109">
        <f t="shared" si="31"/>
        <v>0.5</v>
      </c>
      <c r="I118">
        <v>0.60499999999999998</v>
      </c>
      <c r="J118">
        <v>0.60499999999999998</v>
      </c>
      <c r="P118" s="108" t="s">
        <v>131</v>
      </c>
      <c r="Q118" s="108">
        <v>44835</v>
      </c>
      <c r="R118" s="6" t="s">
        <v>594</v>
      </c>
    </row>
    <row r="119" spans="1:18" x14ac:dyDescent="0.2">
      <c r="A119" s="6" t="s">
        <v>596</v>
      </c>
      <c r="B119" t="s">
        <v>132</v>
      </c>
      <c r="C119">
        <v>0</v>
      </c>
      <c r="E119" s="108">
        <v>47515</v>
      </c>
      <c r="F119">
        <v>2030</v>
      </c>
      <c r="G119" s="109">
        <v>0.41666666666666669</v>
      </c>
      <c r="H119" s="109">
        <f t="shared" si="31"/>
        <v>0.58333333333333326</v>
      </c>
      <c r="I119">
        <v>0.60499999999999998</v>
      </c>
      <c r="J119">
        <v>0.60499999999999998</v>
      </c>
      <c r="P119" s="108" t="s">
        <v>141</v>
      </c>
      <c r="Q119" s="108">
        <v>44866</v>
      </c>
      <c r="R119" s="6" t="s">
        <v>594</v>
      </c>
    </row>
    <row r="120" spans="1:18" x14ac:dyDescent="0.2">
      <c r="A120" s="6" t="s">
        <v>735</v>
      </c>
      <c r="B120" t="s">
        <v>595</v>
      </c>
      <c r="C120" s="69">
        <v>5416</v>
      </c>
      <c r="E120" s="108">
        <v>47543</v>
      </c>
      <c r="F120">
        <v>2030</v>
      </c>
      <c r="G120" s="109">
        <v>0.33333333333333331</v>
      </c>
      <c r="H120" s="109">
        <f t="shared" si="31"/>
        <v>0.66666666666666674</v>
      </c>
      <c r="I120">
        <v>0.60499999999999998</v>
      </c>
      <c r="J120">
        <v>0.60499999999999998</v>
      </c>
      <c r="P120" s="108" t="s">
        <v>137</v>
      </c>
      <c r="Q120" s="108">
        <v>44866</v>
      </c>
      <c r="R120" s="6" t="s">
        <v>594</v>
      </c>
    </row>
    <row r="121" spans="1:18" x14ac:dyDescent="0.2">
      <c r="A121" s="6" t="s">
        <v>735</v>
      </c>
      <c r="B121" t="s">
        <v>641</v>
      </c>
      <c r="C121" s="69">
        <v>5760.75</v>
      </c>
      <c r="E121" s="108">
        <v>47574</v>
      </c>
      <c r="F121">
        <v>2030</v>
      </c>
      <c r="G121" s="109">
        <v>0.25</v>
      </c>
      <c r="H121" s="109">
        <f t="shared" si="31"/>
        <v>0.75</v>
      </c>
      <c r="I121">
        <v>0.60499999999999998</v>
      </c>
      <c r="J121">
        <v>0.60499999999999998</v>
      </c>
      <c r="P121" s="108" t="s">
        <v>13</v>
      </c>
      <c r="Q121" s="108">
        <v>44866</v>
      </c>
      <c r="R121" s="6" t="s">
        <v>594</v>
      </c>
    </row>
    <row r="122" spans="1:18" x14ac:dyDescent="0.2">
      <c r="A122" s="6" t="s">
        <v>735</v>
      </c>
      <c r="B122" s="6" t="s">
        <v>662</v>
      </c>
      <c r="C122" s="69">
        <f t="shared" ref="C122:C127" si="32">ROUND(C121*1.064,0)</f>
        <v>6129</v>
      </c>
      <c r="E122" s="127">
        <v>47604</v>
      </c>
      <c r="F122">
        <v>2030</v>
      </c>
      <c r="G122" s="109">
        <v>0.16666666666666666</v>
      </c>
      <c r="H122" s="109">
        <f t="shared" si="31"/>
        <v>0.83333333333333337</v>
      </c>
      <c r="I122">
        <v>0.60499999999999998</v>
      </c>
      <c r="J122">
        <v>0.60499999999999998</v>
      </c>
      <c r="P122" s="108" t="s">
        <v>12</v>
      </c>
      <c r="Q122" s="108">
        <v>44866</v>
      </c>
      <c r="R122" s="6" t="s">
        <v>594</v>
      </c>
    </row>
    <row r="123" spans="1:18" x14ac:dyDescent="0.2">
      <c r="A123" s="6" t="s">
        <v>735</v>
      </c>
      <c r="B123" s="6" t="s">
        <v>798</v>
      </c>
      <c r="C123" s="69">
        <f t="shared" si="32"/>
        <v>6521</v>
      </c>
      <c r="E123" s="108">
        <v>47635</v>
      </c>
      <c r="F123">
        <v>2030</v>
      </c>
      <c r="G123" s="109">
        <v>8.3333333333333329E-2</v>
      </c>
      <c r="H123" s="109">
        <f t="shared" si="31"/>
        <v>0.91666666666666663</v>
      </c>
      <c r="I123">
        <v>0.60499999999999998</v>
      </c>
      <c r="J123">
        <v>0.60499999999999998</v>
      </c>
      <c r="P123" s="108" t="s">
        <v>142</v>
      </c>
      <c r="Q123" s="108">
        <v>44866</v>
      </c>
      <c r="R123" s="6" t="s">
        <v>595</v>
      </c>
    </row>
    <row r="124" spans="1:18" x14ac:dyDescent="0.2">
      <c r="A124" s="6" t="s">
        <v>735</v>
      </c>
      <c r="B124" s="6" t="s">
        <v>801</v>
      </c>
      <c r="C124" s="69">
        <f t="shared" si="32"/>
        <v>6938</v>
      </c>
      <c r="E124" s="108">
        <v>47665</v>
      </c>
      <c r="F124">
        <v>2031</v>
      </c>
      <c r="G124" s="109">
        <v>1</v>
      </c>
      <c r="H124" s="109">
        <f t="shared" si="31"/>
        <v>0</v>
      </c>
      <c r="I124">
        <v>0.60499999999999998</v>
      </c>
      <c r="J124">
        <v>0.60499999999999998</v>
      </c>
      <c r="P124" s="108" t="s">
        <v>147</v>
      </c>
      <c r="Q124" s="108">
        <v>44896</v>
      </c>
      <c r="R124" s="6" t="s">
        <v>594</v>
      </c>
    </row>
    <row r="125" spans="1:18" x14ac:dyDescent="0.2">
      <c r="A125" s="6" t="s">
        <v>735</v>
      </c>
      <c r="B125" s="6" t="s">
        <v>875</v>
      </c>
      <c r="C125" s="69">
        <f t="shared" si="32"/>
        <v>7382</v>
      </c>
      <c r="E125" s="108">
        <v>47696</v>
      </c>
      <c r="F125">
        <v>2031</v>
      </c>
      <c r="G125" s="109">
        <v>0.91666666666666663</v>
      </c>
      <c r="H125" s="109">
        <v>8.3333333333333329E-2</v>
      </c>
      <c r="I125">
        <v>0.60499999999999998</v>
      </c>
      <c r="J125">
        <v>0.60499999999999998</v>
      </c>
      <c r="P125" s="108" t="s">
        <v>137</v>
      </c>
      <c r="Q125" s="108">
        <v>44896</v>
      </c>
      <c r="R125" s="6" t="s">
        <v>594</v>
      </c>
    </row>
    <row r="126" spans="1:18" x14ac:dyDescent="0.2">
      <c r="A126" s="6" t="s">
        <v>735</v>
      </c>
      <c r="B126" s="6" t="s">
        <v>1128</v>
      </c>
      <c r="C126" s="69">
        <f t="shared" si="32"/>
        <v>7854</v>
      </c>
      <c r="E126" s="108">
        <v>47727</v>
      </c>
      <c r="F126">
        <v>2031</v>
      </c>
      <c r="G126" s="109">
        <v>0.83333333333333337</v>
      </c>
      <c r="H126" s="109">
        <f t="shared" ref="H126:H129" si="33">12/12-G126</f>
        <v>0.16666666666666663</v>
      </c>
      <c r="I126">
        <v>0.60499999999999998</v>
      </c>
      <c r="J126">
        <v>0.60499999999999998</v>
      </c>
      <c r="P126" s="108" t="s">
        <v>13</v>
      </c>
      <c r="Q126" s="108">
        <v>44896</v>
      </c>
      <c r="R126" s="6" t="s">
        <v>594</v>
      </c>
    </row>
    <row r="127" spans="1:18" x14ac:dyDescent="0.2">
      <c r="A127" s="6" t="s">
        <v>735</v>
      </c>
      <c r="B127" s="6" t="s">
        <v>1262</v>
      </c>
      <c r="C127" s="69">
        <f t="shared" si="32"/>
        <v>8357</v>
      </c>
      <c r="E127" s="108">
        <v>47757</v>
      </c>
      <c r="F127">
        <v>2031</v>
      </c>
      <c r="G127" s="109">
        <v>0.75</v>
      </c>
      <c r="H127" s="109">
        <f t="shared" si="33"/>
        <v>0.25</v>
      </c>
      <c r="I127">
        <v>0.60499999999999998</v>
      </c>
      <c r="J127">
        <v>0.60499999999999998</v>
      </c>
      <c r="P127" s="108" t="s">
        <v>12</v>
      </c>
      <c r="Q127" s="108">
        <v>44896</v>
      </c>
      <c r="R127" s="6" t="s">
        <v>594</v>
      </c>
    </row>
    <row r="128" spans="1:18" x14ac:dyDescent="0.2">
      <c r="A128" s="6" t="s">
        <v>735</v>
      </c>
      <c r="B128" t="s">
        <v>132</v>
      </c>
      <c r="C128" s="69">
        <v>0</v>
      </c>
      <c r="E128" s="108">
        <v>47788</v>
      </c>
      <c r="F128">
        <v>2031</v>
      </c>
      <c r="G128" s="109">
        <v>0.66666666666666663</v>
      </c>
      <c r="H128" s="109">
        <f t="shared" si="33"/>
        <v>0.33333333333333337</v>
      </c>
      <c r="I128">
        <v>0.60499999999999998</v>
      </c>
      <c r="J128">
        <v>0.60499999999999998</v>
      </c>
      <c r="P128" s="108" t="s">
        <v>143</v>
      </c>
      <c r="Q128" s="108">
        <v>44896</v>
      </c>
      <c r="R128" s="6" t="s">
        <v>595</v>
      </c>
    </row>
    <row r="129" spans="1:18" x14ac:dyDescent="0.2">
      <c r="A129" s="6" t="s">
        <v>734</v>
      </c>
      <c r="B129" t="s">
        <v>595</v>
      </c>
      <c r="C129" s="69">
        <v>5836</v>
      </c>
      <c r="E129" s="108">
        <v>47818</v>
      </c>
      <c r="F129">
        <v>2031</v>
      </c>
      <c r="G129" s="109">
        <v>0.58333333333333337</v>
      </c>
      <c r="H129" s="109">
        <f t="shared" si="33"/>
        <v>0.41666666666666663</v>
      </c>
      <c r="I129">
        <v>0.60499999999999998</v>
      </c>
      <c r="J129">
        <v>0.60499999999999998</v>
      </c>
      <c r="P129" s="108" t="s">
        <v>137</v>
      </c>
      <c r="Q129" s="108">
        <v>44927</v>
      </c>
      <c r="R129" s="6" t="s">
        <v>594</v>
      </c>
    </row>
    <row r="130" spans="1:18" x14ac:dyDescent="0.2">
      <c r="A130" s="6" t="s">
        <v>734</v>
      </c>
      <c r="B130" t="s">
        <v>641</v>
      </c>
      <c r="C130" s="69">
        <v>6207.25</v>
      </c>
      <c r="E130" s="108"/>
      <c r="G130" s="109"/>
      <c r="H130" s="109"/>
      <c r="P130" s="108" t="s">
        <v>13</v>
      </c>
      <c r="Q130" s="108">
        <v>44927</v>
      </c>
      <c r="R130" s="6" t="s">
        <v>594</v>
      </c>
    </row>
    <row r="131" spans="1:18" x14ac:dyDescent="0.2">
      <c r="A131" s="6" t="s">
        <v>734</v>
      </c>
      <c r="B131" s="6" t="s">
        <v>662</v>
      </c>
      <c r="C131" s="69">
        <f t="shared" ref="C131:C136" si="34">ROUND(C130*1.064,0)</f>
        <v>6605</v>
      </c>
      <c r="G131" s="109"/>
      <c r="H131" s="109"/>
      <c r="P131" s="108" t="s">
        <v>12</v>
      </c>
      <c r="Q131" s="108">
        <v>44927</v>
      </c>
      <c r="R131" s="6" t="s">
        <v>594</v>
      </c>
    </row>
    <row r="132" spans="1:18" x14ac:dyDescent="0.2">
      <c r="A132" s="6" t="s">
        <v>734</v>
      </c>
      <c r="B132" s="6" t="s">
        <v>798</v>
      </c>
      <c r="C132" s="69">
        <f t="shared" si="34"/>
        <v>7028</v>
      </c>
      <c r="G132" s="109"/>
      <c r="H132" s="109"/>
      <c r="P132" s="108" t="s">
        <v>14</v>
      </c>
      <c r="Q132" s="108">
        <v>44927</v>
      </c>
      <c r="R132" s="6" t="s">
        <v>595</v>
      </c>
    </row>
    <row r="133" spans="1:18" x14ac:dyDescent="0.2">
      <c r="A133" s="6" t="s">
        <v>734</v>
      </c>
      <c r="B133" s="6" t="s">
        <v>801</v>
      </c>
      <c r="C133" s="69">
        <f t="shared" si="34"/>
        <v>7478</v>
      </c>
      <c r="G133" s="109"/>
      <c r="H133" s="109"/>
      <c r="P133" s="108" t="s">
        <v>131</v>
      </c>
      <c r="Q133" s="108">
        <v>44927</v>
      </c>
      <c r="R133" s="6" t="s">
        <v>595</v>
      </c>
    </row>
    <row r="134" spans="1:18" x14ac:dyDescent="0.2">
      <c r="A134" s="6" t="s">
        <v>734</v>
      </c>
      <c r="B134" s="6" t="s">
        <v>875</v>
      </c>
      <c r="C134" s="69">
        <f t="shared" si="34"/>
        <v>7957</v>
      </c>
      <c r="G134" s="109"/>
      <c r="H134" s="109"/>
      <c r="P134" s="108" t="s">
        <v>144</v>
      </c>
      <c r="Q134" s="108">
        <v>44958</v>
      </c>
      <c r="R134" s="6" t="s">
        <v>594</v>
      </c>
    </row>
    <row r="135" spans="1:18" x14ac:dyDescent="0.2">
      <c r="A135" s="6" t="s">
        <v>734</v>
      </c>
      <c r="B135" s="6" t="s">
        <v>1128</v>
      </c>
      <c r="C135" s="69">
        <f t="shared" si="34"/>
        <v>8466</v>
      </c>
      <c r="G135" s="109"/>
      <c r="H135" s="109"/>
      <c r="P135" s="108" t="s">
        <v>13</v>
      </c>
      <c r="Q135" s="108">
        <v>44958</v>
      </c>
      <c r="R135" s="6" t="s">
        <v>594</v>
      </c>
    </row>
    <row r="136" spans="1:18" x14ac:dyDescent="0.2">
      <c r="A136" s="6" t="s">
        <v>734</v>
      </c>
      <c r="B136" s="6" t="s">
        <v>1262</v>
      </c>
      <c r="C136" s="69">
        <f t="shared" si="34"/>
        <v>9008</v>
      </c>
      <c r="G136" s="109"/>
      <c r="H136" s="109"/>
      <c r="P136" s="108" t="s">
        <v>12</v>
      </c>
      <c r="Q136" s="108">
        <v>44958</v>
      </c>
      <c r="R136" s="6" t="s">
        <v>594</v>
      </c>
    </row>
    <row r="137" spans="1:18" x14ac:dyDescent="0.2">
      <c r="A137" s="6" t="s">
        <v>734</v>
      </c>
      <c r="B137" t="s">
        <v>132</v>
      </c>
      <c r="C137" s="69">
        <v>0</v>
      </c>
      <c r="P137" s="108" t="s">
        <v>14</v>
      </c>
      <c r="Q137" s="108">
        <v>44958</v>
      </c>
      <c r="R137" s="6" t="s">
        <v>595</v>
      </c>
    </row>
    <row r="138" spans="1:18" x14ac:dyDescent="0.2">
      <c r="A138" s="6" t="s">
        <v>736</v>
      </c>
      <c r="B138" t="s">
        <v>595</v>
      </c>
      <c r="C138" s="69">
        <v>6288</v>
      </c>
      <c r="P138" s="108" t="s">
        <v>145</v>
      </c>
      <c r="Q138" s="108">
        <v>44958</v>
      </c>
      <c r="R138" s="6" t="s">
        <v>595</v>
      </c>
    </row>
    <row r="139" spans="1:18" x14ac:dyDescent="0.2">
      <c r="A139" s="6" t="s">
        <v>736</v>
      </c>
      <c r="B139" t="s">
        <v>641</v>
      </c>
      <c r="C139" s="69">
        <v>6688.33</v>
      </c>
      <c r="P139" s="108" t="s">
        <v>146</v>
      </c>
      <c r="Q139" s="108">
        <v>44986</v>
      </c>
      <c r="R139" s="6" t="s">
        <v>594</v>
      </c>
    </row>
    <row r="140" spans="1:18" x14ac:dyDescent="0.2">
      <c r="A140" s="6" t="s">
        <v>736</v>
      </c>
      <c r="B140" s="6" t="s">
        <v>662</v>
      </c>
      <c r="C140" s="69">
        <f t="shared" ref="C140:C145" si="35">ROUND(C139*1.064,0)</f>
        <v>7116</v>
      </c>
      <c r="E140" s="108" t="s">
        <v>542</v>
      </c>
      <c r="P140" s="108" t="s">
        <v>13</v>
      </c>
      <c r="Q140" s="108">
        <v>44986</v>
      </c>
      <c r="R140" s="6" t="s">
        <v>594</v>
      </c>
    </row>
    <row r="141" spans="1:18" x14ac:dyDescent="0.2">
      <c r="A141" s="6" t="s">
        <v>736</v>
      </c>
      <c r="B141" s="6" t="s">
        <v>798</v>
      </c>
      <c r="C141" s="69">
        <f t="shared" si="35"/>
        <v>7571</v>
      </c>
      <c r="G141" t="s">
        <v>543</v>
      </c>
      <c r="H141" t="s">
        <v>544</v>
      </c>
      <c r="I141" t="s">
        <v>545</v>
      </c>
      <c r="J141" t="s">
        <v>796</v>
      </c>
      <c r="K141" s="6" t="s">
        <v>1184</v>
      </c>
      <c r="L141" s="6"/>
      <c r="P141" s="108" t="s">
        <v>12</v>
      </c>
      <c r="Q141" s="108">
        <v>44986</v>
      </c>
      <c r="R141" s="6" t="s">
        <v>594</v>
      </c>
    </row>
    <row r="142" spans="1:18" x14ac:dyDescent="0.2">
      <c r="A142" s="6" t="s">
        <v>736</v>
      </c>
      <c r="B142" s="6" t="s">
        <v>801</v>
      </c>
      <c r="C142" s="69">
        <f t="shared" si="35"/>
        <v>8056</v>
      </c>
      <c r="E142" s="108">
        <v>45474</v>
      </c>
      <c r="F142">
        <v>2025</v>
      </c>
      <c r="G142" s="111">
        <v>0.35499999999999998</v>
      </c>
      <c r="H142" s="111">
        <v>0.42799999999999999</v>
      </c>
      <c r="I142" s="111">
        <v>0.14699999999999999</v>
      </c>
      <c r="J142" s="111">
        <v>0.03</v>
      </c>
      <c r="K142" s="111">
        <v>0.14699999999999999</v>
      </c>
      <c r="P142" t="s">
        <v>14</v>
      </c>
      <c r="Q142" s="108">
        <v>44986</v>
      </c>
      <c r="R142" s="6" t="s">
        <v>595</v>
      </c>
    </row>
    <row r="143" spans="1:18" x14ac:dyDescent="0.2">
      <c r="A143" s="6" t="s">
        <v>736</v>
      </c>
      <c r="B143" s="6" t="s">
        <v>875</v>
      </c>
      <c r="C143" s="69">
        <f t="shared" si="35"/>
        <v>8572</v>
      </c>
      <c r="E143" s="108">
        <v>45505</v>
      </c>
      <c r="F143">
        <v>2025</v>
      </c>
      <c r="G143" s="111">
        <v>0.35499999999999998</v>
      </c>
      <c r="H143" s="111">
        <v>0.42799999999999999</v>
      </c>
      <c r="I143" s="111">
        <v>0.14699999999999999</v>
      </c>
      <c r="J143" s="111">
        <v>0.03</v>
      </c>
      <c r="K143" s="111">
        <v>0.14699999999999999</v>
      </c>
      <c r="P143" t="s">
        <v>148</v>
      </c>
      <c r="Q143" s="108">
        <v>44986</v>
      </c>
      <c r="R143" s="6" t="s">
        <v>595</v>
      </c>
    </row>
    <row r="144" spans="1:18" x14ac:dyDescent="0.2">
      <c r="A144" s="6" t="s">
        <v>736</v>
      </c>
      <c r="B144" s="6" t="s">
        <v>1128</v>
      </c>
      <c r="C144" s="69">
        <f t="shared" si="35"/>
        <v>9121</v>
      </c>
      <c r="E144" s="108">
        <v>45536</v>
      </c>
      <c r="F144">
        <v>2025</v>
      </c>
      <c r="G144" s="111">
        <v>0.35499999999999998</v>
      </c>
      <c r="H144" s="111">
        <v>0.42799999999999999</v>
      </c>
      <c r="I144" s="111">
        <v>0.14699999999999999</v>
      </c>
      <c r="J144" s="111">
        <v>0.03</v>
      </c>
      <c r="K144" s="111">
        <v>0.14699999999999999</v>
      </c>
      <c r="P144" t="s">
        <v>149</v>
      </c>
      <c r="Q144" s="108">
        <v>45017</v>
      </c>
      <c r="R144" s="6" t="s">
        <v>594</v>
      </c>
    </row>
    <row r="145" spans="1:18" x14ac:dyDescent="0.2">
      <c r="A145" s="6" t="s">
        <v>736</v>
      </c>
      <c r="B145" s="6" t="s">
        <v>1262</v>
      </c>
      <c r="C145" s="69">
        <f t="shared" si="35"/>
        <v>9705</v>
      </c>
      <c r="E145" s="108">
        <v>45566</v>
      </c>
      <c r="F145">
        <v>2025</v>
      </c>
      <c r="G145" s="111">
        <v>0.35499999999999998</v>
      </c>
      <c r="H145" s="111">
        <v>0.42799999999999999</v>
      </c>
      <c r="I145" s="111">
        <v>0.14699999999999999</v>
      </c>
      <c r="J145" s="111">
        <v>0.03</v>
      </c>
      <c r="K145" s="111">
        <v>0.14699999999999999</v>
      </c>
      <c r="P145" t="s">
        <v>13</v>
      </c>
      <c r="Q145" s="108">
        <v>45017</v>
      </c>
      <c r="R145" s="6" t="s">
        <v>594</v>
      </c>
    </row>
    <row r="146" spans="1:18" x14ac:dyDescent="0.2">
      <c r="A146" s="6" t="s">
        <v>736</v>
      </c>
      <c r="B146" t="s">
        <v>132</v>
      </c>
      <c r="C146">
        <v>0</v>
      </c>
      <c r="E146" s="108">
        <v>45597</v>
      </c>
      <c r="F146">
        <v>2025</v>
      </c>
      <c r="G146" s="111">
        <v>0.35499999999999998</v>
      </c>
      <c r="H146" s="111">
        <v>0.42799999999999999</v>
      </c>
      <c r="I146" s="111">
        <v>0.14699999999999999</v>
      </c>
      <c r="J146" s="111">
        <v>0.03</v>
      </c>
      <c r="K146" s="111">
        <v>0.14699999999999999</v>
      </c>
      <c r="P146" t="s">
        <v>12</v>
      </c>
      <c r="Q146" s="108">
        <v>45017</v>
      </c>
      <c r="R146" s="6" t="s">
        <v>594</v>
      </c>
    </row>
    <row r="147" spans="1:18" x14ac:dyDescent="0.2">
      <c r="A147" s="6" t="s">
        <v>737</v>
      </c>
      <c r="B147" t="s">
        <v>595</v>
      </c>
      <c r="C147" s="69">
        <v>6775</v>
      </c>
      <c r="E147" s="108">
        <v>45627</v>
      </c>
      <c r="F147">
        <v>2025</v>
      </c>
      <c r="G147" s="111">
        <v>0.35499999999999998</v>
      </c>
      <c r="H147" s="111">
        <v>0.42799999999999999</v>
      </c>
      <c r="I147" s="111">
        <v>0.14699999999999999</v>
      </c>
      <c r="J147" s="111">
        <v>0.03</v>
      </c>
      <c r="K147" s="111">
        <v>0.14699999999999999</v>
      </c>
      <c r="P147" t="s">
        <v>14</v>
      </c>
      <c r="Q147" s="108">
        <v>45017</v>
      </c>
      <c r="R147" s="6" t="s">
        <v>595</v>
      </c>
    </row>
    <row r="148" spans="1:18" x14ac:dyDescent="0.2">
      <c r="A148" s="6" t="s">
        <v>737</v>
      </c>
      <c r="B148" t="s">
        <v>641</v>
      </c>
      <c r="C148" s="69">
        <v>7206.75</v>
      </c>
      <c r="E148" s="108">
        <v>45658</v>
      </c>
      <c r="F148">
        <v>2025</v>
      </c>
      <c r="G148" s="111">
        <v>0.35499999999999998</v>
      </c>
      <c r="H148" s="111">
        <v>0.42799999999999999</v>
      </c>
      <c r="I148" s="111">
        <v>0.14699999999999999</v>
      </c>
      <c r="J148" s="111">
        <v>0.03</v>
      </c>
      <c r="K148" s="111">
        <v>0.14699999999999999</v>
      </c>
      <c r="P148" t="s">
        <v>150</v>
      </c>
      <c r="Q148" s="108">
        <v>45017</v>
      </c>
      <c r="R148" s="6" t="s">
        <v>595</v>
      </c>
    </row>
    <row r="149" spans="1:18" x14ac:dyDescent="0.2">
      <c r="A149" s="6" t="s">
        <v>737</v>
      </c>
      <c r="B149" s="6" t="s">
        <v>662</v>
      </c>
      <c r="C149" s="69">
        <f t="shared" ref="C149:C154" si="36">ROUND(C148*1.064,0)</f>
        <v>7668</v>
      </c>
      <c r="E149" s="108">
        <v>45689</v>
      </c>
      <c r="F149">
        <v>2025</v>
      </c>
      <c r="G149" s="111">
        <v>0.35499999999999998</v>
      </c>
      <c r="H149" s="111">
        <v>0.42799999999999999</v>
      </c>
      <c r="I149" s="111">
        <v>0.14699999999999999</v>
      </c>
      <c r="J149" s="111">
        <v>0.03</v>
      </c>
      <c r="K149" s="111">
        <v>0.14699999999999999</v>
      </c>
      <c r="P149" t="s">
        <v>151</v>
      </c>
      <c r="Q149" s="108">
        <v>45047</v>
      </c>
      <c r="R149" s="6" t="s">
        <v>594</v>
      </c>
    </row>
    <row r="150" spans="1:18" x14ac:dyDescent="0.2">
      <c r="A150" s="6" t="s">
        <v>737</v>
      </c>
      <c r="B150" s="6" t="s">
        <v>798</v>
      </c>
      <c r="C150" s="69">
        <f t="shared" si="36"/>
        <v>8159</v>
      </c>
      <c r="E150" s="108">
        <v>45717</v>
      </c>
      <c r="F150">
        <v>2025</v>
      </c>
      <c r="G150" s="111">
        <v>0.35499999999999998</v>
      </c>
      <c r="H150" s="111">
        <v>0.42799999999999999</v>
      </c>
      <c r="I150" s="111">
        <v>0.14699999999999999</v>
      </c>
      <c r="J150" s="111">
        <v>0.03</v>
      </c>
      <c r="K150" s="111">
        <v>0.14699999999999999</v>
      </c>
      <c r="P150" t="s">
        <v>13</v>
      </c>
      <c r="Q150" s="108">
        <v>45047</v>
      </c>
      <c r="R150" s="6" t="s">
        <v>594</v>
      </c>
    </row>
    <row r="151" spans="1:18" x14ac:dyDescent="0.2">
      <c r="A151" s="6" t="s">
        <v>737</v>
      </c>
      <c r="B151" s="6" t="s">
        <v>801</v>
      </c>
      <c r="C151" s="69">
        <f t="shared" si="36"/>
        <v>8681</v>
      </c>
      <c r="E151" s="108">
        <v>45748</v>
      </c>
      <c r="F151">
        <v>2025</v>
      </c>
      <c r="G151" s="111">
        <v>0.35499999999999998</v>
      </c>
      <c r="H151" s="111">
        <v>0.42799999999999999</v>
      </c>
      <c r="I151" s="111">
        <v>0.14699999999999999</v>
      </c>
      <c r="J151" s="111">
        <v>0.03</v>
      </c>
      <c r="K151" s="111">
        <v>0.14699999999999999</v>
      </c>
      <c r="P151" t="s">
        <v>12</v>
      </c>
      <c r="Q151" s="108">
        <v>45047</v>
      </c>
      <c r="R151" s="6" t="s">
        <v>594</v>
      </c>
    </row>
    <row r="152" spans="1:18" x14ac:dyDescent="0.2">
      <c r="A152" s="6" t="s">
        <v>737</v>
      </c>
      <c r="B152" s="6" t="s">
        <v>875</v>
      </c>
      <c r="C152" s="69">
        <f t="shared" si="36"/>
        <v>9237</v>
      </c>
      <c r="E152" s="108">
        <v>45778</v>
      </c>
      <c r="F152">
        <v>2025</v>
      </c>
      <c r="G152" s="111">
        <v>0.35499999999999998</v>
      </c>
      <c r="H152" s="111">
        <v>0.42799999999999999</v>
      </c>
      <c r="I152" s="111">
        <v>0.14699999999999999</v>
      </c>
      <c r="J152" s="111">
        <v>0.03</v>
      </c>
      <c r="K152" s="111">
        <v>0.14699999999999999</v>
      </c>
      <c r="P152" s="6" t="s">
        <v>14</v>
      </c>
      <c r="Q152" s="108">
        <v>45047</v>
      </c>
      <c r="R152" s="6" t="s">
        <v>595</v>
      </c>
    </row>
    <row r="153" spans="1:18" x14ac:dyDescent="0.2">
      <c r="A153" s="6" t="s">
        <v>737</v>
      </c>
      <c r="B153" s="6" t="s">
        <v>1128</v>
      </c>
      <c r="C153" s="69">
        <f t="shared" si="36"/>
        <v>9828</v>
      </c>
      <c r="E153" s="108">
        <v>45809</v>
      </c>
      <c r="F153">
        <v>2025</v>
      </c>
      <c r="G153" s="111">
        <v>0.35499999999999998</v>
      </c>
      <c r="H153" s="111">
        <v>0.42799999999999999</v>
      </c>
      <c r="I153" s="111">
        <v>0.14699999999999999</v>
      </c>
      <c r="J153" s="111">
        <v>0.03</v>
      </c>
      <c r="K153" s="111">
        <v>0.14699999999999999</v>
      </c>
      <c r="P153" t="s">
        <v>152</v>
      </c>
      <c r="Q153" s="108">
        <v>45047</v>
      </c>
      <c r="R153" s="6" t="s">
        <v>595</v>
      </c>
    </row>
    <row r="154" spans="1:18" x14ac:dyDescent="0.2">
      <c r="A154" s="6" t="s">
        <v>737</v>
      </c>
      <c r="B154" s="6" t="s">
        <v>1262</v>
      </c>
      <c r="C154" s="69">
        <f t="shared" si="36"/>
        <v>10457</v>
      </c>
      <c r="E154" s="108">
        <v>45839</v>
      </c>
      <c r="F154">
        <v>2026</v>
      </c>
      <c r="G154" s="111">
        <v>0.36799999999999999</v>
      </c>
      <c r="H154" s="111">
        <v>0.44800000000000001</v>
      </c>
      <c r="I154" s="111">
        <v>0.153</v>
      </c>
      <c r="J154" s="111">
        <v>2.3E-2</v>
      </c>
      <c r="K154" s="111">
        <v>0.153</v>
      </c>
      <c r="P154" t="s">
        <v>13</v>
      </c>
      <c r="Q154" s="108">
        <v>45078</v>
      </c>
      <c r="R154" s="6" t="s">
        <v>594</v>
      </c>
    </row>
    <row r="155" spans="1:18" x14ac:dyDescent="0.2">
      <c r="A155" s="6" t="s">
        <v>737</v>
      </c>
      <c r="B155" t="s">
        <v>132</v>
      </c>
      <c r="C155">
        <v>0</v>
      </c>
      <c r="E155" s="108">
        <v>45870</v>
      </c>
      <c r="F155">
        <v>2026</v>
      </c>
      <c r="G155" s="111">
        <v>0.36799999999999999</v>
      </c>
      <c r="H155" s="111">
        <v>0.44800000000000001</v>
      </c>
      <c r="I155" s="111">
        <v>0.153</v>
      </c>
      <c r="J155" s="111">
        <v>2.3E-2</v>
      </c>
      <c r="K155" s="111">
        <v>0.153</v>
      </c>
      <c r="P155" t="s">
        <v>12</v>
      </c>
      <c r="Q155" s="108">
        <v>45078</v>
      </c>
      <c r="R155" s="6" t="s">
        <v>594</v>
      </c>
    </row>
    <row r="156" spans="1:18" x14ac:dyDescent="0.2">
      <c r="A156" s="6" t="s">
        <v>738</v>
      </c>
      <c r="B156" t="s">
        <v>595</v>
      </c>
      <c r="C156" s="69">
        <v>7300</v>
      </c>
      <c r="E156" s="108">
        <v>45901</v>
      </c>
      <c r="F156">
        <v>2026</v>
      </c>
      <c r="G156" s="111">
        <v>0.36799999999999999</v>
      </c>
      <c r="H156" s="111">
        <v>0.44800000000000001</v>
      </c>
      <c r="I156" s="111">
        <v>0.153</v>
      </c>
      <c r="J156" s="111">
        <v>2.3E-2</v>
      </c>
      <c r="K156" s="111">
        <v>0.153</v>
      </c>
      <c r="P156" t="s">
        <v>14</v>
      </c>
      <c r="Q156" s="108">
        <v>45078</v>
      </c>
      <c r="R156" s="6" t="s">
        <v>595</v>
      </c>
    </row>
    <row r="157" spans="1:18" x14ac:dyDescent="0.2">
      <c r="A157" s="6" t="s">
        <v>738</v>
      </c>
      <c r="B157" t="s">
        <v>641</v>
      </c>
      <c r="C157" s="69">
        <v>7765.33</v>
      </c>
      <c r="E157" s="108">
        <v>45931</v>
      </c>
      <c r="F157">
        <v>2026</v>
      </c>
      <c r="G157" s="111">
        <v>0.36799999999999999</v>
      </c>
      <c r="H157" s="111">
        <v>0.44800000000000001</v>
      </c>
      <c r="I157" s="111">
        <v>0.153</v>
      </c>
      <c r="J157" s="111">
        <v>2.3E-2</v>
      </c>
      <c r="K157" s="111">
        <v>0.153</v>
      </c>
      <c r="P157" t="s">
        <v>137</v>
      </c>
      <c r="Q157" s="108">
        <v>45078</v>
      </c>
      <c r="R157" s="6" t="s">
        <v>595</v>
      </c>
    </row>
    <row r="158" spans="1:18" x14ac:dyDescent="0.2">
      <c r="A158" s="6" t="s">
        <v>738</v>
      </c>
      <c r="B158" s="6" t="s">
        <v>662</v>
      </c>
      <c r="C158" s="69">
        <f t="shared" ref="C158:C163" si="37">ROUND(C157*1.064,0)</f>
        <v>8262</v>
      </c>
      <c r="E158" s="108">
        <v>45962</v>
      </c>
      <c r="F158">
        <v>2026</v>
      </c>
      <c r="G158" s="111">
        <v>0.36799999999999999</v>
      </c>
      <c r="H158" s="111">
        <v>0.44800000000000001</v>
      </c>
      <c r="I158" s="111">
        <v>0.153</v>
      </c>
      <c r="J158" s="111">
        <v>2.3E-2</v>
      </c>
      <c r="K158" s="111">
        <v>0.153</v>
      </c>
      <c r="P158" t="s">
        <v>131</v>
      </c>
      <c r="Q158" s="108">
        <v>45078</v>
      </c>
      <c r="R158" s="6" t="s">
        <v>595</v>
      </c>
    </row>
    <row r="159" spans="1:18" x14ac:dyDescent="0.2">
      <c r="A159" s="6" t="s">
        <v>738</v>
      </c>
      <c r="B159" s="6" t="s">
        <v>798</v>
      </c>
      <c r="C159" s="69">
        <f t="shared" si="37"/>
        <v>8791</v>
      </c>
      <c r="E159" s="108">
        <v>45992</v>
      </c>
      <c r="F159">
        <v>2026</v>
      </c>
      <c r="G159" s="111">
        <v>0.36799999999999999</v>
      </c>
      <c r="H159" s="111">
        <v>0.44800000000000001</v>
      </c>
      <c r="I159" s="111">
        <v>0.153</v>
      </c>
      <c r="J159" s="111">
        <v>2.3E-2</v>
      </c>
      <c r="K159" s="111">
        <v>0.153</v>
      </c>
      <c r="P159" s="108" t="s">
        <v>138</v>
      </c>
      <c r="Q159" s="108">
        <v>45108</v>
      </c>
      <c r="R159" s="6" t="s">
        <v>594</v>
      </c>
    </row>
    <row r="160" spans="1:18" x14ac:dyDescent="0.2">
      <c r="A160" s="6" t="s">
        <v>738</v>
      </c>
      <c r="B160" s="6" t="s">
        <v>801</v>
      </c>
      <c r="C160" s="69">
        <f t="shared" si="37"/>
        <v>9354</v>
      </c>
      <c r="E160" s="108">
        <v>46023</v>
      </c>
      <c r="F160">
        <v>2026</v>
      </c>
      <c r="G160" s="111">
        <v>0.36799999999999999</v>
      </c>
      <c r="H160" s="111">
        <v>0.44800000000000001</v>
      </c>
      <c r="I160" s="111">
        <v>0.153</v>
      </c>
      <c r="J160" s="111">
        <v>2.3E-2</v>
      </c>
      <c r="K160" s="111">
        <v>0.153</v>
      </c>
      <c r="P160" s="108" t="s">
        <v>12</v>
      </c>
      <c r="Q160" s="108">
        <v>45108</v>
      </c>
      <c r="R160" s="6" t="s">
        <v>594</v>
      </c>
    </row>
    <row r="161" spans="1:18" x14ac:dyDescent="0.2">
      <c r="A161" s="6" t="s">
        <v>738</v>
      </c>
      <c r="B161" s="6" t="s">
        <v>875</v>
      </c>
      <c r="C161" s="69">
        <f t="shared" si="37"/>
        <v>9953</v>
      </c>
      <c r="E161" s="108">
        <v>46054</v>
      </c>
      <c r="F161">
        <v>2026</v>
      </c>
      <c r="G161" s="111">
        <v>0.36799999999999999</v>
      </c>
      <c r="H161" s="111">
        <v>0.44800000000000001</v>
      </c>
      <c r="I161" s="111">
        <v>0.153</v>
      </c>
      <c r="J161" s="111">
        <v>2.3E-2</v>
      </c>
      <c r="K161" s="111">
        <v>0.153</v>
      </c>
      <c r="P161" s="108" t="s">
        <v>14</v>
      </c>
      <c r="Q161" s="108">
        <v>45108</v>
      </c>
      <c r="R161" s="6" t="s">
        <v>595</v>
      </c>
    </row>
    <row r="162" spans="1:18" x14ac:dyDescent="0.2">
      <c r="A162" s="6" t="s">
        <v>738</v>
      </c>
      <c r="B162" s="6" t="s">
        <v>1128</v>
      </c>
      <c r="C162" s="69">
        <f t="shared" si="37"/>
        <v>10590</v>
      </c>
      <c r="E162" s="108">
        <v>46082</v>
      </c>
      <c r="F162">
        <v>2026</v>
      </c>
      <c r="G162" s="111">
        <v>0.36799999999999999</v>
      </c>
      <c r="H162" s="111">
        <v>0.44800000000000001</v>
      </c>
      <c r="I162" s="111">
        <v>0.153</v>
      </c>
      <c r="J162" s="111">
        <v>2.3E-2</v>
      </c>
      <c r="K162" s="111">
        <v>0.153</v>
      </c>
      <c r="P162" s="108" t="s">
        <v>137</v>
      </c>
      <c r="Q162" s="108">
        <v>45108</v>
      </c>
      <c r="R162" s="6" t="s">
        <v>595</v>
      </c>
    </row>
    <row r="163" spans="1:18" x14ac:dyDescent="0.2">
      <c r="A163" s="6" t="s">
        <v>738</v>
      </c>
      <c r="B163" s="6" t="s">
        <v>1262</v>
      </c>
      <c r="C163" s="69">
        <f t="shared" si="37"/>
        <v>11268</v>
      </c>
      <c r="E163" s="108">
        <v>46113</v>
      </c>
      <c r="F163">
        <v>2026</v>
      </c>
      <c r="G163" s="111">
        <v>0.36799999999999999</v>
      </c>
      <c r="H163" s="111">
        <v>0.44800000000000001</v>
      </c>
      <c r="I163" s="111">
        <v>0.153</v>
      </c>
      <c r="J163" s="111">
        <v>2.3E-2</v>
      </c>
      <c r="K163" s="111">
        <v>0.153</v>
      </c>
      <c r="P163" s="108" t="s">
        <v>204</v>
      </c>
      <c r="Q163" s="108">
        <v>45108</v>
      </c>
      <c r="R163" s="6" t="s">
        <v>595</v>
      </c>
    </row>
    <row r="164" spans="1:18" x14ac:dyDescent="0.2">
      <c r="A164" s="6" t="s">
        <v>738</v>
      </c>
      <c r="B164" t="s">
        <v>132</v>
      </c>
      <c r="C164">
        <v>0</v>
      </c>
      <c r="E164" s="108">
        <v>46143</v>
      </c>
      <c r="F164">
        <v>2026</v>
      </c>
      <c r="G164" s="111">
        <v>0.36799999999999999</v>
      </c>
      <c r="H164" s="111">
        <v>0.44800000000000001</v>
      </c>
      <c r="I164" s="111">
        <v>0.153</v>
      </c>
      <c r="J164" s="111">
        <v>2.3E-2</v>
      </c>
      <c r="K164" s="111">
        <v>0.153</v>
      </c>
      <c r="P164" s="108" t="s">
        <v>139</v>
      </c>
      <c r="Q164" s="108">
        <v>45139</v>
      </c>
      <c r="R164" s="6" t="s">
        <v>594</v>
      </c>
    </row>
    <row r="165" spans="1:18" x14ac:dyDescent="0.2">
      <c r="A165" s="6" t="s">
        <v>739</v>
      </c>
      <c r="B165" t="s">
        <v>595</v>
      </c>
      <c r="C165" s="69">
        <v>7866</v>
      </c>
      <c r="E165" s="108">
        <v>46174</v>
      </c>
      <c r="F165">
        <v>2026</v>
      </c>
      <c r="G165" s="111">
        <v>0.36799999999999999</v>
      </c>
      <c r="H165" s="111">
        <v>0.44800000000000001</v>
      </c>
      <c r="I165" s="111">
        <v>0.153</v>
      </c>
      <c r="J165" s="111">
        <v>2.3E-2</v>
      </c>
      <c r="K165" s="111">
        <v>0.153</v>
      </c>
      <c r="P165" s="108" t="s">
        <v>12</v>
      </c>
      <c r="Q165" s="108">
        <v>45139</v>
      </c>
      <c r="R165" s="6" t="s">
        <v>594</v>
      </c>
    </row>
    <row r="166" spans="1:18" x14ac:dyDescent="0.2">
      <c r="A166" s="6" t="s">
        <v>739</v>
      </c>
      <c r="B166" t="s">
        <v>641</v>
      </c>
      <c r="C166" s="69">
        <v>8367.17</v>
      </c>
      <c r="E166" s="108">
        <v>46204</v>
      </c>
      <c r="F166">
        <v>2027</v>
      </c>
      <c r="G166" s="111">
        <v>0.36799999999999999</v>
      </c>
      <c r="H166" s="111">
        <v>0.44800000000000001</v>
      </c>
      <c r="I166" s="111">
        <v>0.153</v>
      </c>
      <c r="J166" s="111">
        <v>2.3E-2</v>
      </c>
      <c r="K166" s="111">
        <v>0.153</v>
      </c>
      <c r="P166" s="108" t="s">
        <v>14</v>
      </c>
      <c r="Q166" s="108">
        <v>45139</v>
      </c>
      <c r="R166" s="6" t="s">
        <v>595</v>
      </c>
    </row>
    <row r="167" spans="1:18" x14ac:dyDescent="0.2">
      <c r="A167" s="6" t="s">
        <v>739</v>
      </c>
      <c r="B167" s="6" t="s">
        <v>662</v>
      </c>
      <c r="C167" s="69">
        <f t="shared" ref="C167:C172" si="38">ROUND(C166*1.064,0)</f>
        <v>8903</v>
      </c>
      <c r="E167" s="108">
        <v>46235</v>
      </c>
      <c r="F167">
        <v>2027</v>
      </c>
      <c r="G167" s="111">
        <v>0.36799999999999999</v>
      </c>
      <c r="H167" s="111">
        <v>0.44800000000000001</v>
      </c>
      <c r="I167" s="111">
        <v>0.153</v>
      </c>
      <c r="J167" s="111">
        <v>2.3E-2</v>
      </c>
      <c r="K167" s="111">
        <v>0.153</v>
      </c>
      <c r="P167" s="108" t="s">
        <v>137</v>
      </c>
      <c r="Q167" s="108">
        <v>45139</v>
      </c>
      <c r="R167" s="6" t="s">
        <v>595</v>
      </c>
    </row>
    <row r="168" spans="1:18" x14ac:dyDescent="0.2">
      <c r="A168" s="6" t="s">
        <v>739</v>
      </c>
      <c r="B168" s="6" t="s">
        <v>798</v>
      </c>
      <c r="C168" s="69">
        <f t="shared" si="38"/>
        <v>9473</v>
      </c>
      <c r="E168" s="108">
        <v>46266</v>
      </c>
      <c r="F168">
        <v>2027</v>
      </c>
      <c r="G168" s="111">
        <v>0.36799999999999999</v>
      </c>
      <c r="H168" s="111">
        <v>0.44800000000000001</v>
      </c>
      <c r="I168" s="111">
        <v>0.153</v>
      </c>
      <c r="J168" s="111">
        <v>2.3E-2</v>
      </c>
      <c r="K168" s="111">
        <v>0.153</v>
      </c>
      <c r="P168" s="108" t="s">
        <v>140</v>
      </c>
      <c r="Q168" s="108">
        <v>45139</v>
      </c>
      <c r="R168" s="6" t="s">
        <v>595</v>
      </c>
    </row>
    <row r="169" spans="1:18" x14ac:dyDescent="0.2">
      <c r="A169" s="6" t="s">
        <v>739</v>
      </c>
      <c r="B169" s="6" t="s">
        <v>801</v>
      </c>
      <c r="C169" s="69">
        <f t="shared" si="38"/>
        <v>10079</v>
      </c>
      <c r="E169" s="108">
        <v>46296</v>
      </c>
      <c r="F169">
        <v>2027</v>
      </c>
      <c r="G169" s="111">
        <v>0.36799999999999999</v>
      </c>
      <c r="H169" s="111">
        <v>0.44800000000000001</v>
      </c>
      <c r="I169" s="111">
        <v>0.153</v>
      </c>
      <c r="J169" s="111">
        <v>2.3E-2</v>
      </c>
      <c r="K169" s="111">
        <v>0.153</v>
      </c>
      <c r="P169" s="108" t="s">
        <v>12</v>
      </c>
      <c r="Q169" s="108">
        <v>45170</v>
      </c>
      <c r="R169" s="6" t="s">
        <v>594</v>
      </c>
    </row>
    <row r="170" spans="1:18" x14ac:dyDescent="0.2">
      <c r="A170" s="6" t="s">
        <v>739</v>
      </c>
      <c r="B170" s="6" t="s">
        <v>875</v>
      </c>
      <c r="C170" s="69">
        <f t="shared" si="38"/>
        <v>10724</v>
      </c>
      <c r="E170" s="108">
        <v>46327</v>
      </c>
      <c r="F170">
        <v>2027</v>
      </c>
      <c r="G170" s="111">
        <v>0.36799999999999999</v>
      </c>
      <c r="H170" s="111">
        <v>0.44800000000000001</v>
      </c>
      <c r="I170" s="111">
        <v>0.153</v>
      </c>
      <c r="J170" s="111">
        <v>2.3E-2</v>
      </c>
      <c r="K170" s="111">
        <v>0.153</v>
      </c>
      <c r="P170" s="108" t="s">
        <v>14</v>
      </c>
      <c r="Q170" s="108">
        <v>45170</v>
      </c>
      <c r="R170" s="6" t="s">
        <v>595</v>
      </c>
    </row>
    <row r="171" spans="1:18" x14ac:dyDescent="0.2">
      <c r="A171" s="6" t="s">
        <v>739</v>
      </c>
      <c r="B171" s="6" t="s">
        <v>1128</v>
      </c>
      <c r="C171" s="69">
        <f t="shared" si="38"/>
        <v>11410</v>
      </c>
      <c r="E171" s="108">
        <v>46357</v>
      </c>
      <c r="F171">
        <v>2027</v>
      </c>
      <c r="G171" s="111">
        <v>0.36799999999999999</v>
      </c>
      <c r="H171" s="111">
        <v>0.44800000000000001</v>
      </c>
      <c r="I171" s="111">
        <v>0.153</v>
      </c>
      <c r="J171" s="111">
        <v>2.3E-2</v>
      </c>
      <c r="K171" s="111">
        <v>0.153</v>
      </c>
      <c r="P171" s="108" t="s">
        <v>137</v>
      </c>
      <c r="Q171" s="108">
        <v>45170</v>
      </c>
      <c r="R171" s="6" t="s">
        <v>595</v>
      </c>
    </row>
    <row r="172" spans="1:18" x14ac:dyDescent="0.2">
      <c r="A172" s="6" t="s">
        <v>739</v>
      </c>
      <c r="B172" s="6" t="s">
        <v>1262</v>
      </c>
      <c r="C172" s="69">
        <f t="shared" si="38"/>
        <v>12140</v>
      </c>
      <c r="E172" s="108">
        <v>46388</v>
      </c>
      <c r="F172">
        <v>2027</v>
      </c>
      <c r="G172" s="111">
        <v>0.36799999999999999</v>
      </c>
      <c r="H172" s="111">
        <v>0.44800000000000001</v>
      </c>
      <c r="I172" s="111">
        <v>0.153</v>
      </c>
      <c r="J172" s="111">
        <v>2.3E-2</v>
      </c>
      <c r="K172" s="111">
        <v>0.153</v>
      </c>
      <c r="P172" s="108" t="s">
        <v>13</v>
      </c>
      <c r="Q172" s="108">
        <v>45170</v>
      </c>
      <c r="R172" s="6" t="s">
        <v>595</v>
      </c>
    </row>
    <row r="173" spans="1:18" x14ac:dyDescent="0.2">
      <c r="A173" s="6" t="s">
        <v>739</v>
      </c>
      <c r="B173" t="s">
        <v>132</v>
      </c>
      <c r="C173">
        <v>0</v>
      </c>
      <c r="E173" s="108">
        <v>46419</v>
      </c>
      <c r="F173">
        <v>2027</v>
      </c>
      <c r="G173" s="111">
        <v>0.36799999999999999</v>
      </c>
      <c r="H173" s="111">
        <v>0.44800000000000001</v>
      </c>
      <c r="I173" s="111">
        <v>0.153</v>
      </c>
      <c r="J173" s="111">
        <v>2.3E-2</v>
      </c>
      <c r="K173" s="111">
        <v>0.153</v>
      </c>
      <c r="P173" s="108" t="s">
        <v>131</v>
      </c>
      <c r="Q173" s="108">
        <v>45170</v>
      </c>
      <c r="R173" s="6" t="s">
        <v>595</v>
      </c>
    </row>
    <row r="174" spans="1:18" x14ac:dyDescent="0.2">
      <c r="A174" s="6"/>
      <c r="C174" s="110"/>
      <c r="E174" s="108">
        <v>46447</v>
      </c>
      <c r="F174">
        <v>2027</v>
      </c>
      <c r="G174" s="111">
        <v>0.36799999999999999</v>
      </c>
      <c r="H174" s="111">
        <v>0.44800000000000001</v>
      </c>
      <c r="I174" s="111">
        <v>0.153</v>
      </c>
      <c r="J174" s="111">
        <v>2.3E-2</v>
      </c>
      <c r="K174" s="111">
        <v>0.153</v>
      </c>
      <c r="P174" s="127" t="s">
        <v>14</v>
      </c>
      <c r="Q174" s="108">
        <v>45200</v>
      </c>
      <c r="R174" s="6" t="s">
        <v>595</v>
      </c>
    </row>
    <row r="175" spans="1:18" x14ac:dyDescent="0.2">
      <c r="A175" s="6"/>
      <c r="C175" s="69"/>
      <c r="E175" s="108">
        <v>46478</v>
      </c>
      <c r="F175">
        <v>2027</v>
      </c>
      <c r="G175" s="111">
        <v>0.36799999999999999</v>
      </c>
      <c r="H175" s="111">
        <v>0.44800000000000001</v>
      </c>
      <c r="I175" s="111">
        <v>0.153</v>
      </c>
      <c r="J175" s="111">
        <v>2.3E-2</v>
      </c>
      <c r="K175" s="111">
        <v>0.153</v>
      </c>
      <c r="P175" s="108" t="s">
        <v>137</v>
      </c>
      <c r="Q175" s="108">
        <v>45200</v>
      </c>
      <c r="R175" s="6" t="s">
        <v>595</v>
      </c>
    </row>
    <row r="176" spans="1:18" x14ac:dyDescent="0.2">
      <c r="A176" s="6"/>
      <c r="C176" s="69"/>
      <c r="E176" s="108">
        <v>46508</v>
      </c>
      <c r="F176">
        <v>2027</v>
      </c>
      <c r="G176" s="111">
        <v>0.36799999999999999</v>
      </c>
      <c r="H176" s="111">
        <v>0.44800000000000001</v>
      </c>
      <c r="I176" s="111">
        <v>0.153</v>
      </c>
      <c r="J176" s="111">
        <v>2.3E-2</v>
      </c>
      <c r="K176" s="111">
        <v>0.153</v>
      </c>
      <c r="P176" s="108" t="s">
        <v>13</v>
      </c>
      <c r="Q176" s="108">
        <v>45200</v>
      </c>
      <c r="R176" s="6" t="s">
        <v>595</v>
      </c>
    </row>
    <row r="177" spans="1:18" x14ac:dyDescent="0.2">
      <c r="A177" s="6"/>
      <c r="B177" s="6"/>
      <c r="C177" s="69"/>
      <c r="E177" s="108">
        <v>46539</v>
      </c>
      <c r="F177">
        <v>2027</v>
      </c>
      <c r="G177" s="111">
        <v>0.36799999999999999</v>
      </c>
      <c r="H177" s="111">
        <v>0.44800000000000001</v>
      </c>
      <c r="I177" s="111">
        <v>0.153</v>
      </c>
      <c r="J177" s="111">
        <v>2.3E-2</v>
      </c>
      <c r="K177" s="111">
        <v>0.153</v>
      </c>
      <c r="P177" s="108" t="s">
        <v>12</v>
      </c>
      <c r="Q177" s="108">
        <v>45200</v>
      </c>
      <c r="R177" s="6" t="s">
        <v>595</v>
      </c>
    </row>
    <row r="178" spans="1:18" x14ac:dyDescent="0.2">
      <c r="A178" s="6"/>
      <c r="B178" s="6"/>
      <c r="C178" s="69"/>
      <c r="E178" s="108">
        <v>46569</v>
      </c>
      <c r="F178">
        <v>2028</v>
      </c>
      <c r="G178" s="111">
        <v>0.36799999999999999</v>
      </c>
      <c r="H178" s="111">
        <v>0.44800000000000001</v>
      </c>
      <c r="I178" s="111">
        <v>0.153</v>
      </c>
      <c r="J178" s="111">
        <v>2.3E-2</v>
      </c>
      <c r="K178" s="111">
        <v>0.153</v>
      </c>
      <c r="P178" s="108" t="s">
        <v>131</v>
      </c>
      <c r="Q178" s="108">
        <v>45200</v>
      </c>
      <c r="R178" s="6" t="s">
        <v>595</v>
      </c>
    </row>
    <row r="179" spans="1:18" x14ac:dyDescent="0.2">
      <c r="A179" s="6"/>
      <c r="B179" s="6"/>
      <c r="C179" s="69"/>
      <c r="E179" s="108">
        <v>46600</v>
      </c>
      <c r="F179">
        <v>2028</v>
      </c>
      <c r="G179" s="111">
        <v>0.36799999999999999</v>
      </c>
      <c r="H179" s="111">
        <v>0.44800000000000001</v>
      </c>
      <c r="I179" s="111">
        <v>0.153</v>
      </c>
      <c r="J179" s="111">
        <v>2.3E-2</v>
      </c>
      <c r="K179" s="111">
        <v>0.153</v>
      </c>
      <c r="P179" s="108" t="s">
        <v>141</v>
      </c>
      <c r="Q179" s="108">
        <v>45231</v>
      </c>
      <c r="R179" s="6" t="s">
        <v>595</v>
      </c>
    </row>
    <row r="180" spans="1:18" x14ac:dyDescent="0.2">
      <c r="A180" s="6"/>
      <c r="B180" s="6"/>
      <c r="C180" s="69"/>
      <c r="E180" s="108">
        <v>46631</v>
      </c>
      <c r="F180">
        <v>2028</v>
      </c>
      <c r="G180" s="111">
        <v>0.36799999999999999</v>
      </c>
      <c r="H180" s="111">
        <v>0.44800000000000001</v>
      </c>
      <c r="I180" s="111">
        <v>0.153</v>
      </c>
      <c r="J180" s="111">
        <v>2.3E-2</v>
      </c>
      <c r="K180" s="111">
        <v>0.153</v>
      </c>
      <c r="P180" s="108" t="s">
        <v>137</v>
      </c>
      <c r="Q180" s="108">
        <v>45231</v>
      </c>
      <c r="R180" s="6" t="s">
        <v>595</v>
      </c>
    </row>
    <row r="181" spans="1:18" x14ac:dyDescent="0.2">
      <c r="A181" s="6"/>
      <c r="B181" s="6"/>
      <c r="C181" s="69"/>
      <c r="E181" s="108">
        <v>46661</v>
      </c>
      <c r="F181">
        <v>2028</v>
      </c>
      <c r="G181" s="111">
        <v>0.36799999999999999</v>
      </c>
      <c r="H181" s="111">
        <v>0.44800000000000001</v>
      </c>
      <c r="I181" s="111">
        <v>0.153</v>
      </c>
      <c r="J181" s="111">
        <v>2.3E-2</v>
      </c>
      <c r="K181" s="111">
        <v>0.153</v>
      </c>
      <c r="P181" s="108" t="s">
        <v>13</v>
      </c>
      <c r="Q181" s="108">
        <v>45231</v>
      </c>
      <c r="R181" s="6" t="s">
        <v>595</v>
      </c>
    </row>
    <row r="182" spans="1:18" x14ac:dyDescent="0.2">
      <c r="A182" s="6"/>
      <c r="E182" s="108">
        <v>46692</v>
      </c>
      <c r="F182">
        <v>2028</v>
      </c>
      <c r="G182" s="111">
        <v>0.36799999999999999</v>
      </c>
      <c r="H182" s="111">
        <v>0.44800000000000001</v>
      </c>
      <c r="I182" s="111">
        <v>0.153</v>
      </c>
      <c r="J182" s="111">
        <v>2.3E-2</v>
      </c>
      <c r="K182" s="111">
        <v>0.153</v>
      </c>
      <c r="P182" s="108" t="s">
        <v>12</v>
      </c>
      <c r="Q182" s="108">
        <v>45231</v>
      </c>
      <c r="R182" s="6" t="s">
        <v>595</v>
      </c>
    </row>
    <row r="183" spans="1:18" x14ac:dyDescent="0.2">
      <c r="A183" s="6"/>
      <c r="C183" s="110"/>
      <c r="E183" s="108">
        <v>46722</v>
      </c>
      <c r="F183">
        <v>2028</v>
      </c>
      <c r="G183" s="111">
        <v>0.36799999999999999</v>
      </c>
      <c r="H183" s="111">
        <v>0.44800000000000001</v>
      </c>
      <c r="I183" s="111">
        <v>0.153</v>
      </c>
      <c r="J183" s="111">
        <v>2.3E-2</v>
      </c>
      <c r="K183" s="111">
        <v>0.153</v>
      </c>
      <c r="P183" s="108" t="s">
        <v>142</v>
      </c>
      <c r="Q183" s="108">
        <v>45231</v>
      </c>
      <c r="R183" s="6" t="s">
        <v>641</v>
      </c>
    </row>
    <row r="184" spans="1:18" x14ac:dyDescent="0.2">
      <c r="A184" s="6"/>
      <c r="C184" s="69"/>
      <c r="E184" s="108">
        <v>46753</v>
      </c>
      <c r="F184">
        <v>2028</v>
      </c>
      <c r="G184" s="111">
        <v>0.36799999999999999</v>
      </c>
      <c r="H184" s="111">
        <v>0.44800000000000001</v>
      </c>
      <c r="I184" s="111">
        <v>0.153</v>
      </c>
      <c r="J184" s="111">
        <v>2.3E-2</v>
      </c>
      <c r="K184" s="111">
        <v>0.153</v>
      </c>
      <c r="P184" s="108" t="s">
        <v>147</v>
      </c>
      <c r="Q184" s="108">
        <v>45261</v>
      </c>
      <c r="R184" s="6" t="s">
        <v>595</v>
      </c>
    </row>
    <row r="185" spans="1:18" x14ac:dyDescent="0.2">
      <c r="A185" s="6"/>
      <c r="C185" s="69"/>
      <c r="E185" s="108">
        <v>46784</v>
      </c>
      <c r="F185">
        <v>2028</v>
      </c>
      <c r="G185" s="111">
        <v>0.36799999999999999</v>
      </c>
      <c r="H185" s="111">
        <v>0.44800000000000001</v>
      </c>
      <c r="I185" s="111">
        <v>0.153</v>
      </c>
      <c r="J185" s="111">
        <v>2.3E-2</v>
      </c>
      <c r="K185" s="111">
        <v>0.153</v>
      </c>
      <c r="M185" s="110"/>
      <c r="P185" s="108" t="s">
        <v>137</v>
      </c>
      <c r="Q185" s="108">
        <v>45261</v>
      </c>
      <c r="R185" s="6" t="s">
        <v>595</v>
      </c>
    </row>
    <row r="186" spans="1:18" x14ac:dyDescent="0.2">
      <c r="A186" s="6"/>
      <c r="B186" s="6"/>
      <c r="C186" s="69"/>
      <c r="E186" s="108">
        <v>46813</v>
      </c>
      <c r="F186">
        <v>2028</v>
      </c>
      <c r="G186" s="111">
        <v>0.36799999999999999</v>
      </c>
      <c r="H186" s="111">
        <v>0.44800000000000001</v>
      </c>
      <c r="I186" s="111">
        <v>0.153</v>
      </c>
      <c r="J186" s="111">
        <v>2.3E-2</v>
      </c>
      <c r="K186" s="111">
        <v>0.153</v>
      </c>
      <c r="P186" s="108" t="s">
        <v>13</v>
      </c>
      <c r="Q186" s="108">
        <v>45261</v>
      </c>
      <c r="R186" s="6" t="s">
        <v>595</v>
      </c>
    </row>
    <row r="187" spans="1:18" x14ac:dyDescent="0.2">
      <c r="A187" s="6"/>
      <c r="B187" s="6"/>
      <c r="C187" s="69"/>
      <c r="E187" s="108">
        <v>46844</v>
      </c>
      <c r="F187">
        <v>2028</v>
      </c>
      <c r="G187" s="111">
        <v>0.36799999999999999</v>
      </c>
      <c r="H187" s="111">
        <v>0.44800000000000001</v>
      </c>
      <c r="I187" s="111">
        <v>0.153</v>
      </c>
      <c r="J187" s="111">
        <v>2.3E-2</v>
      </c>
      <c r="K187" s="111">
        <v>0.153</v>
      </c>
      <c r="P187" s="108" t="s">
        <v>12</v>
      </c>
      <c r="Q187" s="108">
        <v>45261</v>
      </c>
      <c r="R187" s="6" t="s">
        <v>595</v>
      </c>
    </row>
    <row r="188" spans="1:18" x14ac:dyDescent="0.2">
      <c r="A188" s="6" t="s">
        <v>741</v>
      </c>
      <c r="B188" s="6" t="s">
        <v>798</v>
      </c>
      <c r="C188" s="69">
        <f t="shared" ref="C188:C190" si="39">ROUND(C187*1.064,0)</f>
        <v>0</v>
      </c>
      <c r="E188" s="108">
        <v>46874</v>
      </c>
      <c r="F188">
        <v>2028</v>
      </c>
      <c r="G188" s="111">
        <v>0.36799999999999999</v>
      </c>
      <c r="H188" s="111">
        <v>0.44800000000000001</v>
      </c>
      <c r="I188" s="111">
        <v>0.153</v>
      </c>
      <c r="J188" s="111">
        <v>2.3E-2</v>
      </c>
      <c r="K188" s="111">
        <v>0.153</v>
      </c>
      <c r="P188" s="108" t="s">
        <v>143</v>
      </c>
      <c r="Q188" s="108">
        <v>45261</v>
      </c>
      <c r="R188" s="6" t="s">
        <v>641</v>
      </c>
    </row>
    <row r="189" spans="1:18" x14ac:dyDescent="0.2">
      <c r="A189" s="6" t="s">
        <v>741</v>
      </c>
      <c r="B189" s="6" t="s">
        <v>801</v>
      </c>
      <c r="C189" s="69">
        <f t="shared" si="39"/>
        <v>0</v>
      </c>
      <c r="E189" s="108">
        <v>46905</v>
      </c>
      <c r="F189">
        <v>2028</v>
      </c>
      <c r="G189" s="111">
        <v>0.36799999999999999</v>
      </c>
      <c r="H189" s="111">
        <v>0.44800000000000001</v>
      </c>
      <c r="I189" s="111">
        <v>0.153</v>
      </c>
      <c r="J189" s="111">
        <v>2.3E-2</v>
      </c>
      <c r="K189" s="111">
        <v>0.153</v>
      </c>
      <c r="P189" s="108" t="s">
        <v>137</v>
      </c>
      <c r="Q189" s="108">
        <v>45292</v>
      </c>
      <c r="R189" s="6" t="s">
        <v>595</v>
      </c>
    </row>
    <row r="190" spans="1:18" x14ac:dyDescent="0.2">
      <c r="A190" s="6" t="s">
        <v>741</v>
      </c>
      <c r="B190" s="6" t="s">
        <v>875</v>
      </c>
      <c r="C190" s="69">
        <f t="shared" si="39"/>
        <v>0</v>
      </c>
      <c r="E190" s="108">
        <v>46935</v>
      </c>
      <c r="F190">
        <v>2029</v>
      </c>
      <c r="G190" s="111">
        <v>0.36799999999999999</v>
      </c>
      <c r="H190" s="111">
        <v>0.44800000000000001</v>
      </c>
      <c r="I190" s="111">
        <v>0.153</v>
      </c>
      <c r="J190" s="111">
        <v>2.3E-2</v>
      </c>
      <c r="K190" s="111">
        <v>0.153</v>
      </c>
      <c r="P190" s="108" t="s">
        <v>13</v>
      </c>
      <c r="Q190" s="108">
        <v>45292</v>
      </c>
      <c r="R190" s="6" t="s">
        <v>595</v>
      </c>
    </row>
    <row r="191" spans="1:18" x14ac:dyDescent="0.2">
      <c r="A191" s="6" t="s">
        <v>741</v>
      </c>
      <c r="B191" t="s">
        <v>132</v>
      </c>
      <c r="C191">
        <v>0</v>
      </c>
      <c r="E191" s="108">
        <v>46966</v>
      </c>
      <c r="F191">
        <v>2029</v>
      </c>
      <c r="G191" s="111">
        <v>0.36799999999999999</v>
      </c>
      <c r="H191" s="111">
        <v>0.44800000000000001</v>
      </c>
      <c r="I191" s="111">
        <v>0.153</v>
      </c>
      <c r="J191" s="111">
        <v>2.3E-2</v>
      </c>
      <c r="K191" s="111">
        <v>0.153</v>
      </c>
      <c r="P191" s="108" t="s">
        <v>12</v>
      </c>
      <c r="Q191" s="108">
        <v>45292</v>
      </c>
      <c r="R191" s="6" t="s">
        <v>595</v>
      </c>
    </row>
    <row r="192" spans="1:18" x14ac:dyDescent="0.2">
      <c r="A192" s="6" t="s">
        <v>742</v>
      </c>
      <c r="B192" t="s">
        <v>562</v>
      </c>
      <c r="C192" s="110">
        <v>6656.08</v>
      </c>
      <c r="E192" s="108">
        <v>46997</v>
      </c>
      <c r="F192">
        <v>2029</v>
      </c>
      <c r="G192" s="111">
        <v>0.36799999999999999</v>
      </c>
      <c r="H192" s="111">
        <v>0.44800000000000001</v>
      </c>
      <c r="I192" s="111">
        <v>0.153</v>
      </c>
      <c r="J192" s="111">
        <v>2.3E-2</v>
      </c>
      <c r="K192" s="111">
        <v>0.153</v>
      </c>
      <c r="P192" s="108" t="s">
        <v>14</v>
      </c>
      <c r="Q192" s="108">
        <v>45292</v>
      </c>
      <c r="R192" s="6" t="s">
        <v>641</v>
      </c>
    </row>
    <row r="193" spans="1:18" x14ac:dyDescent="0.2">
      <c r="A193" s="6" t="s">
        <v>742</v>
      </c>
      <c r="B193" t="s">
        <v>594</v>
      </c>
      <c r="C193" s="69">
        <f t="shared" ref="C193" si="40">ROUND(C192*1.04,0)</f>
        <v>6922</v>
      </c>
      <c r="E193" s="108">
        <v>47027</v>
      </c>
      <c r="F193">
        <v>2029</v>
      </c>
      <c r="G193" s="111">
        <v>0.36799999999999999</v>
      </c>
      <c r="H193" s="111">
        <v>0.44800000000000001</v>
      </c>
      <c r="I193" s="111">
        <v>0.153</v>
      </c>
      <c r="J193" s="111">
        <v>2.3E-2</v>
      </c>
      <c r="K193" s="111">
        <v>0.153</v>
      </c>
      <c r="P193" s="108" t="s">
        <v>131</v>
      </c>
      <c r="Q193" s="108">
        <v>45292</v>
      </c>
      <c r="R193" s="6" t="s">
        <v>641</v>
      </c>
    </row>
    <row r="194" spans="1:18" x14ac:dyDescent="0.2">
      <c r="A194" s="6" t="s">
        <v>742</v>
      </c>
      <c r="B194" t="s">
        <v>595</v>
      </c>
      <c r="C194" s="69">
        <f>ROUND(C193*1.064,0)</f>
        <v>7365</v>
      </c>
      <c r="E194" s="108">
        <v>47058</v>
      </c>
      <c r="F194">
        <v>2029</v>
      </c>
      <c r="G194" s="111">
        <v>0.36799999999999999</v>
      </c>
      <c r="H194" s="111">
        <v>0.44800000000000001</v>
      </c>
      <c r="I194" s="111">
        <v>0.153</v>
      </c>
      <c r="J194" s="111">
        <v>2.3E-2</v>
      </c>
      <c r="K194" s="111">
        <v>0.153</v>
      </c>
      <c r="P194" s="108" t="s">
        <v>144</v>
      </c>
      <c r="Q194" s="108">
        <v>45323</v>
      </c>
      <c r="R194" s="6" t="s">
        <v>595</v>
      </c>
    </row>
    <row r="195" spans="1:18" x14ac:dyDescent="0.2">
      <c r="A195" s="6" t="s">
        <v>742</v>
      </c>
      <c r="B195" s="6" t="s">
        <v>641</v>
      </c>
      <c r="C195" s="69">
        <f t="shared" ref="C195:C199" si="41">ROUND(C194*1.064,0)</f>
        <v>7836</v>
      </c>
      <c r="E195" s="108">
        <v>47088</v>
      </c>
      <c r="F195">
        <v>2029</v>
      </c>
      <c r="G195" s="111">
        <v>0.36799999999999999</v>
      </c>
      <c r="H195" s="111">
        <v>0.44800000000000001</v>
      </c>
      <c r="I195" s="111">
        <v>0.153</v>
      </c>
      <c r="J195" s="111">
        <v>2.3E-2</v>
      </c>
      <c r="K195" s="111">
        <v>0.153</v>
      </c>
      <c r="P195" s="108" t="s">
        <v>13</v>
      </c>
      <c r="Q195" s="108">
        <v>45323</v>
      </c>
      <c r="R195" s="6" t="s">
        <v>595</v>
      </c>
    </row>
    <row r="196" spans="1:18" x14ac:dyDescent="0.2">
      <c r="A196" s="6" t="s">
        <v>742</v>
      </c>
      <c r="B196" s="6" t="s">
        <v>662</v>
      </c>
      <c r="C196" s="69">
        <f t="shared" si="41"/>
        <v>8338</v>
      </c>
      <c r="E196" s="108">
        <v>47119</v>
      </c>
      <c r="F196">
        <v>2029</v>
      </c>
      <c r="G196" s="111">
        <v>0.36799999999999999</v>
      </c>
      <c r="H196" s="111">
        <v>0.44800000000000001</v>
      </c>
      <c r="I196" s="111">
        <v>0.153</v>
      </c>
      <c r="J196" s="111">
        <v>2.3E-2</v>
      </c>
      <c r="K196" s="111">
        <v>0.153</v>
      </c>
      <c r="P196" s="108" t="s">
        <v>12</v>
      </c>
      <c r="Q196" s="108">
        <v>45323</v>
      </c>
      <c r="R196" s="6" t="s">
        <v>595</v>
      </c>
    </row>
    <row r="197" spans="1:18" x14ac:dyDescent="0.2">
      <c r="A197" s="6" t="s">
        <v>742</v>
      </c>
      <c r="B197" s="6" t="s">
        <v>798</v>
      </c>
      <c r="C197" s="69">
        <f t="shared" si="41"/>
        <v>8872</v>
      </c>
      <c r="E197" s="108">
        <v>47150</v>
      </c>
      <c r="F197">
        <v>2029</v>
      </c>
      <c r="G197" s="111">
        <v>0.36799999999999999</v>
      </c>
      <c r="H197" s="111">
        <v>0.44800000000000001</v>
      </c>
      <c r="I197" s="111">
        <v>0.153</v>
      </c>
      <c r="J197" s="111">
        <v>2.3E-2</v>
      </c>
      <c r="K197" s="111">
        <v>0.153</v>
      </c>
      <c r="P197" s="108" t="s">
        <v>14</v>
      </c>
      <c r="Q197" s="108">
        <v>45323</v>
      </c>
      <c r="R197" s="6" t="s">
        <v>641</v>
      </c>
    </row>
    <row r="198" spans="1:18" x14ac:dyDescent="0.2">
      <c r="A198" s="6" t="s">
        <v>742</v>
      </c>
      <c r="B198" s="6" t="s">
        <v>801</v>
      </c>
      <c r="C198" s="69">
        <f t="shared" si="41"/>
        <v>9440</v>
      </c>
      <c r="E198" s="108">
        <v>47178</v>
      </c>
      <c r="F198">
        <v>2029</v>
      </c>
      <c r="G198" s="111">
        <v>0.36799999999999999</v>
      </c>
      <c r="H198" s="111">
        <v>0.44800000000000001</v>
      </c>
      <c r="I198" s="111">
        <v>0.153</v>
      </c>
      <c r="J198" s="111">
        <v>2.3E-2</v>
      </c>
      <c r="K198" s="111">
        <v>0.153</v>
      </c>
      <c r="P198" s="108" t="s">
        <v>145</v>
      </c>
      <c r="Q198" s="108">
        <v>45323</v>
      </c>
      <c r="R198" s="6" t="s">
        <v>641</v>
      </c>
    </row>
    <row r="199" spans="1:18" x14ac:dyDescent="0.2">
      <c r="A199" s="6" t="s">
        <v>742</v>
      </c>
      <c r="B199" s="6" t="s">
        <v>875</v>
      </c>
      <c r="C199" s="69">
        <f t="shared" si="41"/>
        <v>10044</v>
      </c>
      <c r="E199" s="108">
        <v>47209</v>
      </c>
      <c r="F199">
        <v>2029</v>
      </c>
      <c r="G199" s="111">
        <v>0.36799999999999999</v>
      </c>
      <c r="H199" s="111">
        <v>0.44800000000000001</v>
      </c>
      <c r="I199" s="111">
        <v>0.153</v>
      </c>
      <c r="J199" s="111">
        <v>2.3E-2</v>
      </c>
      <c r="K199" s="111">
        <v>0.153</v>
      </c>
      <c r="P199" s="108" t="s">
        <v>146</v>
      </c>
      <c r="Q199" s="108">
        <v>45352</v>
      </c>
      <c r="R199" s="6" t="s">
        <v>595</v>
      </c>
    </row>
    <row r="200" spans="1:18" x14ac:dyDescent="0.2">
      <c r="A200" s="6" t="s">
        <v>742</v>
      </c>
      <c r="B200" t="s">
        <v>132</v>
      </c>
      <c r="C200">
        <v>0</v>
      </c>
      <c r="E200" s="108">
        <v>47239</v>
      </c>
      <c r="F200">
        <v>2029</v>
      </c>
      <c r="G200" s="111">
        <v>0.36799999999999999</v>
      </c>
      <c r="H200" s="111">
        <v>0.44800000000000001</v>
      </c>
      <c r="I200" s="111">
        <v>0.153</v>
      </c>
      <c r="J200" s="111">
        <v>2.3E-2</v>
      </c>
      <c r="K200" s="111">
        <v>0.153</v>
      </c>
      <c r="P200" s="108" t="s">
        <v>13</v>
      </c>
      <c r="Q200" s="108">
        <v>45352</v>
      </c>
      <c r="R200" s="6" t="s">
        <v>595</v>
      </c>
    </row>
    <row r="201" spans="1:18" x14ac:dyDescent="0.2">
      <c r="A201" s="6" t="s">
        <v>743</v>
      </c>
      <c r="B201" t="s">
        <v>562</v>
      </c>
      <c r="C201" s="110">
        <v>7186.58</v>
      </c>
      <c r="E201" s="108">
        <v>47270</v>
      </c>
      <c r="F201">
        <v>2029</v>
      </c>
      <c r="G201" s="111">
        <v>0.36799999999999999</v>
      </c>
      <c r="H201" s="111">
        <v>0.44800000000000001</v>
      </c>
      <c r="I201" s="111">
        <v>0.153</v>
      </c>
      <c r="J201" s="111">
        <v>2.3E-2</v>
      </c>
      <c r="K201" s="111">
        <v>0.153</v>
      </c>
      <c r="P201" s="108" t="s">
        <v>12</v>
      </c>
      <c r="Q201" s="108">
        <v>45352</v>
      </c>
      <c r="R201" s="6" t="s">
        <v>595</v>
      </c>
    </row>
    <row r="202" spans="1:18" x14ac:dyDescent="0.2">
      <c r="A202" s="6" t="s">
        <v>743</v>
      </c>
      <c r="B202" t="s">
        <v>594</v>
      </c>
      <c r="C202" s="69">
        <f t="shared" ref="C202" si="42">ROUND(C201*1.04,0)</f>
        <v>7474</v>
      </c>
      <c r="E202" s="108">
        <v>47300</v>
      </c>
      <c r="F202">
        <v>2030</v>
      </c>
      <c r="G202" s="111">
        <v>0.36799999999999999</v>
      </c>
      <c r="H202" s="111">
        <v>0.44800000000000001</v>
      </c>
      <c r="I202" s="111">
        <v>0.153</v>
      </c>
      <c r="J202" s="111">
        <v>2.3E-2</v>
      </c>
      <c r="K202" s="111">
        <v>0.153</v>
      </c>
      <c r="P202" t="s">
        <v>14</v>
      </c>
      <c r="Q202" s="108">
        <v>45352</v>
      </c>
      <c r="R202" s="6" t="s">
        <v>641</v>
      </c>
    </row>
    <row r="203" spans="1:18" x14ac:dyDescent="0.2">
      <c r="A203" s="6" t="s">
        <v>743</v>
      </c>
      <c r="B203" t="s">
        <v>595</v>
      </c>
      <c r="C203" s="69">
        <f>ROUND(C202*1.064,0)</f>
        <v>7952</v>
      </c>
      <c r="E203" s="108">
        <v>47331</v>
      </c>
      <c r="F203">
        <v>2030</v>
      </c>
      <c r="G203" s="111">
        <v>0.36799999999999999</v>
      </c>
      <c r="H203" s="111">
        <v>0.44800000000000001</v>
      </c>
      <c r="I203" s="111">
        <v>0.153</v>
      </c>
      <c r="J203" s="111">
        <v>2.3E-2</v>
      </c>
      <c r="K203" s="111">
        <v>0.153</v>
      </c>
      <c r="P203" t="s">
        <v>148</v>
      </c>
      <c r="Q203" s="108">
        <v>45352</v>
      </c>
      <c r="R203" s="6" t="s">
        <v>641</v>
      </c>
    </row>
    <row r="204" spans="1:18" x14ac:dyDescent="0.2">
      <c r="A204" s="6" t="s">
        <v>743</v>
      </c>
      <c r="B204" s="6" t="s">
        <v>641</v>
      </c>
      <c r="C204" s="69">
        <f t="shared" ref="C204:C208" si="43">ROUND(C203*1.064,0)</f>
        <v>8461</v>
      </c>
      <c r="E204" s="108">
        <v>47362</v>
      </c>
      <c r="F204">
        <v>2030</v>
      </c>
      <c r="G204" s="111">
        <v>0.36799999999999999</v>
      </c>
      <c r="H204" s="111">
        <v>0.44800000000000001</v>
      </c>
      <c r="I204" s="111">
        <v>0.153</v>
      </c>
      <c r="J204" s="111">
        <v>2.3E-2</v>
      </c>
      <c r="K204" s="111">
        <v>0.153</v>
      </c>
      <c r="P204" t="s">
        <v>149</v>
      </c>
      <c r="Q204" s="108">
        <v>45383</v>
      </c>
      <c r="R204" s="6" t="s">
        <v>595</v>
      </c>
    </row>
    <row r="205" spans="1:18" x14ac:dyDescent="0.2">
      <c r="A205" s="6" t="s">
        <v>743</v>
      </c>
      <c r="B205" s="6" t="s">
        <v>662</v>
      </c>
      <c r="C205" s="69">
        <f t="shared" si="43"/>
        <v>9003</v>
      </c>
      <c r="E205" s="108">
        <v>47392</v>
      </c>
      <c r="F205">
        <v>2030</v>
      </c>
      <c r="G205" s="111">
        <v>0.36799999999999999</v>
      </c>
      <c r="H205" s="111">
        <v>0.44800000000000001</v>
      </c>
      <c r="I205" s="111">
        <v>0.153</v>
      </c>
      <c r="J205" s="111">
        <v>2.3E-2</v>
      </c>
      <c r="K205" s="111">
        <v>0.153</v>
      </c>
      <c r="P205" t="s">
        <v>13</v>
      </c>
      <c r="Q205" s="108">
        <v>45383</v>
      </c>
      <c r="R205" s="6" t="s">
        <v>595</v>
      </c>
    </row>
    <row r="206" spans="1:18" x14ac:dyDescent="0.2">
      <c r="A206" s="6" t="s">
        <v>743</v>
      </c>
      <c r="B206" s="6" t="s">
        <v>798</v>
      </c>
      <c r="C206" s="69">
        <f t="shared" si="43"/>
        <v>9579</v>
      </c>
      <c r="E206" s="108">
        <v>47423</v>
      </c>
      <c r="F206">
        <v>2030</v>
      </c>
      <c r="G206" s="111">
        <v>0.36799999999999999</v>
      </c>
      <c r="H206" s="111">
        <v>0.44800000000000001</v>
      </c>
      <c r="I206" s="111">
        <v>0.153</v>
      </c>
      <c r="J206" s="111">
        <v>2.3E-2</v>
      </c>
      <c r="K206" s="111">
        <v>0.153</v>
      </c>
      <c r="P206" t="s">
        <v>12</v>
      </c>
      <c r="Q206" s="108">
        <v>45383</v>
      </c>
      <c r="R206" s="6" t="s">
        <v>595</v>
      </c>
    </row>
    <row r="207" spans="1:18" x14ac:dyDescent="0.2">
      <c r="A207" s="6" t="s">
        <v>743</v>
      </c>
      <c r="B207" s="6" t="s">
        <v>801</v>
      </c>
      <c r="C207" s="69">
        <f t="shared" si="43"/>
        <v>10192</v>
      </c>
      <c r="E207" s="108">
        <v>47453</v>
      </c>
      <c r="F207">
        <v>2030</v>
      </c>
      <c r="G207" s="111">
        <v>0.36799999999999999</v>
      </c>
      <c r="H207" s="111">
        <v>0.44800000000000001</v>
      </c>
      <c r="I207" s="111">
        <v>0.153</v>
      </c>
      <c r="J207" s="111">
        <v>2.3E-2</v>
      </c>
      <c r="K207" s="111">
        <v>0.153</v>
      </c>
      <c r="P207" t="s">
        <v>14</v>
      </c>
      <c r="Q207" s="108">
        <v>45383</v>
      </c>
      <c r="R207" s="6" t="s">
        <v>641</v>
      </c>
    </row>
    <row r="208" spans="1:18" x14ac:dyDescent="0.2">
      <c r="A208" s="6" t="s">
        <v>743</v>
      </c>
      <c r="B208" s="6" t="s">
        <v>875</v>
      </c>
      <c r="C208" s="69">
        <f t="shared" si="43"/>
        <v>10844</v>
      </c>
      <c r="E208" s="108">
        <v>47484</v>
      </c>
      <c r="F208">
        <v>2030</v>
      </c>
      <c r="G208" s="111">
        <v>0.36799999999999999</v>
      </c>
      <c r="H208" s="111">
        <v>0.44800000000000001</v>
      </c>
      <c r="I208" s="111">
        <v>0.153</v>
      </c>
      <c r="J208" s="111">
        <v>2.3E-2</v>
      </c>
      <c r="K208" s="111">
        <v>0.153</v>
      </c>
      <c r="P208" t="s">
        <v>150</v>
      </c>
      <c r="Q208" s="108">
        <v>45383</v>
      </c>
      <c r="R208" s="6" t="s">
        <v>641</v>
      </c>
    </row>
    <row r="209" spans="1:18" x14ac:dyDescent="0.2">
      <c r="A209" s="6" t="s">
        <v>743</v>
      </c>
      <c r="B209" t="s">
        <v>132</v>
      </c>
      <c r="C209">
        <v>0</v>
      </c>
      <c r="E209" s="108">
        <v>47515</v>
      </c>
      <c r="F209">
        <v>2030</v>
      </c>
      <c r="G209" s="111">
        <v>0.36799999999999999</v>
      </c>
      <c r="H209" s="111">
        <v>0.44800000000000001</v>
      </c>
      <c r="I209" s="111">
        <v>0.153</v>
      </c>
      <c r="J209" s="111">
        <v>2.3E-2</v>
      </c>
      <c r="K209" s="111">
        <v>0.153</v>
      </c>
      <c r="P209" t="s">
        <v>151</v>
      </c>
      <c r="Q209" s="108">
        <v>45413</v>
      </c>
      <c r="R209" s="6" t="s">
        <v>595</v>
      </c>
    </row>
    <row r="210" spans="1:18" x14ac:dyDescent="0.2">
      <c r="A210" s="126" t="s">
        <v>433</v>
      </c>
      <c r="E210" s="108">
        <v>47543</v>
      </c>
      <c r="F210">
        <v>2030</v>
      </c>
      <c r="G210" s="111">
        <v>0.36799999999999999</v>
      </c>
      <c r="H210" s="111">
        <v>0.44800000000000001</v>
      </c>
      <c r="I210" s="111">
        <v>0.153</v>
      </c>
      <c r="J210" s="111">
        <v>2.3E-2</v>
      </c>
      <c r="K210" s="111">
        <v>0.153</v>
      </c>
      <c r="P210" t="s">
        <v>13</v>
      </c>
      <c r="Q210" s="108">
        <v>45413</v>
      </c>
      <c r="R210" s="6" t="s">
        <v>595</v>
      </c>
    </row>
    <row r="211" spans="1:18" x14ac:dyDescent="0.2">
      <c r="A211" s="98" t="s">
        <v>837</v>
      </c>
      <c r="E211" s="108">
        <v>47574</v>
      </c>
      <c r="F211">
        <v>2030</v>
      </c>
      <c r="G211" s="111">
        <v>0.36799999999999999</v>
      </c>
      <c r="H211" s="111">
        <v>0.44800000000000001</v>
      </c>
      <c r="I211" s="111">
        <v>0.153</v>
      </c>
      <c r="J211" s="111">
        <v>2.3E-2</v>
      </c>
      <c r="K211" s="111">
        <v>0.153</v>
      </c>
      <c r="P211" t="s">
        <v>12</v>
      </c>
      <c r="Q211" s="108">
        <v>45413</v>
      </c>
      <c r="R211" s="6" t="s">
        <v>595</v>
      </c>
    </row>
    <row r="212" spans="1:18" x14ac:dyDescent="0.2">
      <c r="A212" s="98" t="s">
        <v>132</v>
      </c>
      <c r="E212" s="108">
        <v>47604</v>
      </c>
      <c r="F212">
        <v>2030</v>
      </c>
      <c r="G212" s="111">
        <v>0.36799999999999999</v>
      </c>
      <c r="H212" s="111">
        <v>0.44800000000000001</v>
      </c>
      <c r="I212" s="111">
        <v>0.153</v>
      </c>
      <c r="J212" s="111">
        <v>2.3E-2</v>
      </c>
      <c r="K212" s="111">
        <v>0.153</v>
      </c>
      <c r="P212" s="6" t="s">
        <v>14</v>
      </c>
      <c r="Q212" s="108">
        <v>45413</v>
      </c>
      <c r="R212" s="6" t="s">
        <v>641</v>
      </c>
    </row>
    <row r="213" spans="1:18" x14ac:dyDescent="0.2">
      <c r="A213" s="98" t="s">
        <v>635</v>
      </c>
      <c r="E213" s="108">
        <v>47635</v>
      </c>
      <c r="F213">
        <v>2030</v>
      </c>
      <c r="G213" s="111">
        <v>0.36799999999999999</v>
      </c>
      <c r="H213" s="111">
        <v>0.44800000000000001</v>
      </c>
      <c r="I213" s="111">
        <v>0.153</v>
      </c>
      <c r="J213" s="111">
        <v>2.3E-2</v>
      </c>
      <c r="K213" s="111">
        <v>0.153</v>
      </c>
      <c r="P213" t="s">
        <v>152</v>
      </c>
      <c r="Q213" s="108">
        <v>45413</v>
      </c>
      <c r="R213" s="6" t="s">
        <v>641</v>
      </c>
    </row>
    <row r="214" spans="1:18" x14ac:dyDescent="0.2">
      <c r="A214" s="98" t="s">
        <v>262</v>
      </c>
      <c r="E214" s="108">
        <v>47665</v>
      </c>
      <c r="F214">
        <v>2031</v>
      </c>
      <c r="G214" s="111">
        <v>0.36799999999999999</v>
      </c>
      <c r="H214" s="111">
        <v>0.44800000000000001</v>
      </c>
      <c r="I214" s="111">
        <v>0.153</v>
      </c>
      <c r="J214" s="111">
        <v>2.3E-2</v>
      </c>
      <c r="K214" s="111">
        <v>0.153</v>
      </c>
      <c r="P214" t="s">
        <v>13</v>
      </c>
      <c r="Q214" s="108">
        <v>45444</v>
      </c>
      <c r="R214" s="6" t="s">
        <v>595</v>
      </c>
    </row>
    <row r="215" spans="1:18" x14ac:dyDescent="0.2">
      <c r="A215" s="98" t="s">
        <v>757</v>
      </c>
      <c r="E215" s="108">
        <v>47696</v>
      </c>
      <c r="F215">
        <v>2031</v>
      </c>
      <c r="G215" s="111">
        <v>0.36799999999999999</v>
      </c>
      <c r="H215" s="111">
        <v>0.44800000000000001</v>
      </c>
      <c r="I215" s="111">
        <v>0.153</v>
      </c>
      <c r="J215" s="111">
        <v>2.3E-2</v>
      </c>
      <c r="K215" s="111">
        <v>0.153</v>
      </c>
      <c r="P215" t="s">
        <v>12</v>
      </c>
      <c r="Q215" s="108">
        <v>45444</v>
      </c>
      <c r="R215" s="6" t="s">
        <v>595</v>
      </c>
    </row>
    <row r="216" spans="1:18" x14ac:dyDescent="0.2">
      <c r="A216" s="98" t="s">
        <v>263</v>
      </c>
      <c r="E216" s="108">
        <v>47727</v>
      </c>
      <c r="F216">
        <v>2031</v>
      </c>
      <c r="G216" s="111">
        <v>0.36799999999999999</v>
      </c>
      <c r="H216" s="111">
        <v>0.44800000000000001</v>
      </c>
      <c r="I216" s="111">
        <v>0.153</v>
      </c>
      <c r="J216" s="111">
        <v>2.3E-2</v>
      </c>
      <c r="K216" s="111">
        <v>0.153</v>
      </c>
      <c r="P216" t="s">
        <v>14</v>
      </c>
      <c r="Q216" s="108">
        <v>45444</v>
      </c>
      <c r="R216" s="6" t="s">
        <v>641</v>
      </c>
    </row>
    <row r="217" spans="1:18" x14ac:dyDescent="0.2">
      <c r="A217" s="126" t="s">
        <v>1051</v>
      </c>
      <c r="E217" s="108">
        <v>47757</v>
      </c>
      <c r="F217">
        <v>2031</v>
      </c>
      <c r="G217" s="111">
        <v>0.36799999999999999</v>
      </c>
      <c r="H217" s="111">
        <v>0.44800000000000001</v>
      </c>
      <c r="I217" s="111">
        <v>0.153</v>
      </c>
      <c r="J217" s="111">
        <v>2.3E-2</v>
      </c>
      <c r="K217" s="111">
        <v>0.153</v>
      </c>
      <c r="P217" t="s">
        <v>137</v>
      </c>
      <c r="Q217" s="108">
        <v>45444</v>
      </c>
      <c r="R217" s="6" t="s">
        <v>641</v>
      </c>
    </row>
    <row r="218" spans="1:18" x14ac:dyDescent="0.2">
      <c r="A218" s="98" t="s">
        <v>587</v>
      </c>
      <c r="E218" s="108">
        <v>47788</v>
      </c>
      <c r="F218">
        <v>2031</v>
      </c>
      <c r="G218" s="111">
        <v>0.36799999999999999</v>
      </c>
      <c r="H218" s="111">
        <v>0.44800000000000001</v>
      </c>
      <c r="I218" s="111">
        <v>0.153</v>
      </c>
      <c r="J218" s="111">
        <v>2.3E-2</v>
      </c>
      <c r="K218" s="111">
        <v>0.153</v>
      </c>
      <c r="P218" t="s">
        <v>131</v>
      </c>
      <c r="Q218" s="108">
        <v>45444</v>
      </c>
      <c r="R218" s="6" t="s">
        <v>641</v>
      </c>
    </row>
    <row r="219" spans="1:18" x14ac:dyDescent="0.2">
      <c r="A219" s="98" t="s">
        <v>876</v>
      </c>
      <c r="E219" s="108">
        <v>47818</v>
      </c>
      <c r="F219">
        <v>2031</v>
      </c>
      <c r="G219" s="111">
        <v>0.36799999999999999</v>
      </c>
      <c r="H219" s="111">
        <v>0.44800000000000001</v>
      </c>
      <c r="I219" s="111">
        <v>0.153</v>
      </c>
      <c r="J219" s="111">
        <v>2.3E-2</v>
      </c>
      <c r="K219" s="111">
        <v>0.153</v>
      </c>
      <c r="P219" s="108" t="s">
        <v>138</v>
      </c>
      <c r="Q219" s="108">
        <v>45474</v>
      </c>
      <c r="R219" s="6" t="s">
        <v>595</v>
      </c>
    </row>
    <row r="220" spans="1:18" x14ac:dyDescent="0.2">
      <c r="A220" s="98" t="s">
        <v>264</v>
      </c>
      <c r="E220" s="108">
        <v>47849</v>
      </c>
      <c r="F220">
        <v>2031</v>
      </c>
      <c r="G220" s="111">
        <v>0.36799999999999999</v>
      </c>
      <c r="H220" s="111">
        <v>0.44800000000000001</v>
      </c>
      <c r="I220" s="111">
        <v>0.153</v>
      </c>
      <c r="J220" s="111">
        <v>2.3E-2</v>
      </c>
      <c r="K220" s="111">
        <v>0.153</v>
      </c>
      <c r="P220" s="108" t="s">
        <v>12</v>
      </c>
      <c r="Q220" s="108">
        <v>45474</v>
      </c>
      <c r="R220" s="6" t="s">
        <v>595</v>
      </c>
    </row>
    <row r="221" spans="1:18" x14ac:dyDescent="0.2">
      <c r="A221" s="98" t="s">
        <v>877</v>
      </c>
      <c r="E221" s="108">
        <v>47880</v>
      </c>
      <c r="F221">
        <v>2031</v>
      </c>
      <c r="G221" s="111">
        <v>0.36799999999999999</v>
      </c>
      <c r="H221" s="111">
        <v>0.44800000000000001</v>
      </c>
      <c r="I221" s="111">
        <v>0.153</v>
      </c>
      <c r="J221" s="111">
        <v>2.3E-2</v>
      </c>
      <c r="K221" s="111">
        <v>0.153</v>
      </c>
      <c r="P221" s="108" t="s">
        <v>14</v>
      </c>
      <c r="Q221" s="108">
        <v>45474</v>
      </c>
      <c r="R221" s="6" t="s">
        <v>641</v>
      </c>
    </row>
    <row r="222" spans="1:18" x14ac:dyDescent="0.2">
      <c r="A222" s="98" t="s">
        <v>505</v>
      </c>
      <c r="E222" s="108">
        <v>47908</v>
      </c>
      <c r="F222">
        <v>2031</v>
      </c>
      <c r="G222" s="111">
        <v>0.36799999999999999</v>
      </c>
      <c r="H222" s="111">
        <v>0.44800000000000001</v>
      </c>
      <c r="I222" s="111">
        <v>0.153</v>
      </c>
      <c r="J222" s="111">
        <v>2.3E-2</v>
      </c>
      <c r="K222" s="111">
        <v>0.153</v>
      </c>
      <c r="P222" s="108" t="s">
        <v>137</v>
      </c>
      <c r="Q222" s="108">
        <v>45474</v>
      </c>
      <c r="R222" s="6" t="s">
        <v>641</v>
      </c>
    </row>
    <row r="223" spans="1:18" x14ac:dyDescent="0.2">
      <c r="A223" s="98" t="s">
        <v>691</v>
      </c>
      <c r="E223" s="108">
        <v>47939</v>
      </c>
      <c r="F223">
        <v>2031</v>
      </c>
      <c r="G223" s="111">
        <v>0.36799999999999999</v>
      </c>
      <c r="H223" s="111">
        <v>0.44800000000000001</v>
      </c>
      <c r="I223" s="111">
        <v>0.153</v>
      </c>
      <c r="J223" s="111">
        <v>2.3E-2</v>
      </c>
      <c r="K223" s="111">
        <v>0.153</v>
      </c>
      <c r="P223" s="108" t="s">
        <v>204</v>
      </c>
      <c r="Q223" s="108">
        <v>45474</v>
      </c>
      <c r="R223" s="6" t="s">
        <v>641</v>
      </c>
    </row>
    <row r="224" spans="1:18" x14ac:dyDescent="0.2">
      <c r="A224" s="126" t="s">
        <v>1030</v>
      </c>
      <c r="E224" s="108">
        <v>47969</v>
      </c>
      <c r="F224">
        <v>2031</v>
      </c>
      <c r="G224" s="111">
        <v>0.36799999999999999</v>
      </c>
      <c r="H224" s="111">
        <v>0.44800000000000001</v>
      </c>
      <c r="I224" s="111">
        <v>0.153</v>
      </c>
      <c r="J224" s="111">
        <v>2.3E-2</v>
      </c>
      <c r="K224" s="111">
        <v>0.153</v>
      </c>
      <c r="P224" s="108" t="s">
        <v>139</v>
      </c>
      <c r="Q224" s="108">
        <v>45505</v>
      </c>
      <c r="R224" s="6" t="s">
        <v>595</v>
      </c>
    </row>
    <row r="225" spans="1:18" x14ac:dyDescent="0.2">
      <c r="A225" s="126" t="s">
        <v>1271</v>
      </c>
      <c r="E225" s="108">
        <v>48000</v>
      </c>
      <c r="F225">
        <v>2031</v>
      </c>
      <c r="G225" s="111">
        <v>0.36799999999999999</v>
      </c>
      <c r="H225" s="111">
        <v>0.44800000000000001</v>
      </c>
      <c r="I225" s="111">
        <v>0.153</v>
      </c>
      <c r="J225" s="111">
        <v>2.3E-2</v>
      </c>
      <c r="K225" s="111">
        <v>0.153</v>
      </c>
      <c r="P225" s="108" t="s">
        <v>12</v>
      </c>
      <c r="Q225" s="108">
        <v>45505</v>
      </c>
      <c r="R225" s="6" t="s">
        <v>595</v>
      </c>
    </row>
    <row r="226" spans="1:18" x14ac:dyDescent="0.2">
      <c r="A226" s="126" t="s">
        <v>505</v>
      </c>
      <c r="P226" s="108" t="s">
        <v>14</v>
      </c>
      <c r="Q226" s="108">
        <v>45505</v>
      </c>
      <c r="R226" s="6" t="s">
        <v>641</v>
      </c>
    </row>
    <row r="227" spans="1:18" x14ac:dyDescent="0.2">
      <c r="A227" s="98" t="s">
        <v>878</v>
      </c>
      <c r="P227" s="108" t="s">
        <v>137</v>
      </c>
      <c r="Q227" s="108">
        <v>45505</v>
      </c>
      <c r="R227" s="6" t="s">
        <v>641</v>
      </c>
    </row>
    <row r="228" spans="1:18" x14ac:dyDescent="0.2">
      <c r="A228" s="98" t="s">
        <v>265</v>
      </c>
      <c r="P228" s="108" t="s">
        <v>140</v>
      </c>
      <c r="Q228" s="108">
        <v>45505</v>
      </c>
      <c r="R228" s="6" t="s">
        <v>641</v>
      </c>
    </row>
    <row r="229" spans="1:18" ht="63.75" x14ac:dyDescent="0.2">
      <c r="A229" s="98" t="s">
        <v>879</v>
      </c>
      <c r="E229" t="s">
        <v>546</v>
      </c>
      <c r="F229" t="s">
        <v>547</v>
      </c>
      <c r="G229" s="73" t="s">
        <v>548</v>
      </c>
      <c r="H229" s="73" t="s">
        <v>549</v>
      </c>
      <c r="I229" s="112" t="s">
        <v>552</v>
      </c>
      <c r="J229" s="112" t="s">
        <v>553</v>
      </c>
      <c r="K229" s="112" t="s">
        <v>554</v>
      </c>
      <c r="L229" s="112" t="s">
        <v>555</v>
      </c>
      <c r="M229" s="112" t="s">
        <v>556</v>
      </c>
      <c r="N229" s="112" t="s">
        <v>557</v>
      </c>
      <c r="P229" s="108" t="s">
        <v>12</v>
      </c>
      <c r="Q229" s="108">
        <v>45536</v>
      </c>
      <c r="R229" s="6" t="s">
        <v>595</v>
      </c>
    </row>
    <row r="230" spans="1:18" x14ac:dyDescent="0.2">
      <c r="A230" s="98" t="s">
        <v>266</v>
      </c>
      <c r="E230" s="108">
        <v>45474</v>
      </c>
      <c r="F230" s="6" t="s">
        <v>641</v>
      </c>
      <c r="G230" s="199">
        <v>3221</v>
      </c>
      <c r="H230" s="199">
        <v>3221</v>
      </c>
      <c r="I230" s="199">
        <v>8063</v>
      </c>
      <c r="J230" s="199">
        <v>8063</v>
      </c>
      <c r="K230" s="199">
        <v>8063</v>
      </c>
      <c r="L230" s="199">
        <v>8063</v>
      </c>
      <c r="M230" s="199">
        <v>7551</v>
      </c>
      <c r="N230" s="199">
        <v>7551</v>
      </c>
      <c r="P230" s="108" t="s">
        <v>14</v>
      </c>
      <c r="Q230" s="108">
        <v>45536</v>
      </c>
      <c r="R230" s="6" t="s">
        <v>641</v>
      </c>
    </row>
    <row r="231" spans="1:18" x14ac:dyDescent="0.2">
      <c r="A231" s="98" t="s">
        <v>821</v>
      </c>
      <c r="E231" s="108">
        <v>45505</v>
      </c>
      <c r="F231" s="6" t="s">
        <v>641</v>
      </c>
      <c r="G231" s="199">
        <v>3221</v>
      </c>
      <c r="H231" s="199">
        <v>3221</v>
      </c>
      <c r="I231" s="199">
        <v>8063</v>
      </c>
      <c r="J231" s="199">
        <v>8063</v>
      </c>
      <c r="K231" s="199">
        <v>8063</v>
      </c>
      <c r="L231" s="199">
        <v>8063</v>
      </c>
      <c r="M231" s="199">
        <v>7551</v>
      </c>
      <c r="N231" s="199">
        <v>7551</v>
      </c>
      <c r="P231" s="108" t="s">
        <v>137</v>
      </c>
      <c r="Q231" s="108">
        <v>45536</v>
      </c>
      <c r="R231" s="6" t="s">
        <v>641</v>
      </c>
    </row>
    <row r="232" spans="1:18" x14ac:dyDescent="0.2">
      <c r="A232" s="98" t="s">
        <v>267</v>
      </c>
      <c r="E232" s="108">
        <v>45536</v>
      </c>
      <c r="F232" s="6" t="s">
        <v>641</v>
      </c>
      <c r="G232" s="199">
        <v>3221</v>
      </c>
      <c r="H232" s="199">
        <v>3221</v>
      </c>
      <c r="I232" s="199">
        <v>8063</v>
      </c>
      <c r="J232" s="199">
        <v>8063</v>
      </c>
      <c r="K232" s="199">
        <v>8063</v>
      </c>
      <c r="L232" s="199">
        <v>8063</v>
      </c>
      <c r="M232" s="199">
        <v>7551</v>
      </c>
      <c r="N232" s="199">
        <v>7551</v>
      </c>
      <c r="P232" s="108" t="s">
        <v>13</v>
      </c>
      <c r="Q232" s="108">
        <v>45536</v>
      </c>
      <c r="R232" s="6" t="s">
        <v>641</v>
      </c>
    </row>
    <row r="233" spans="1:18" x14ac:dyDescent="0.2">
      <c r="A233" s="126" t="s">
        <v>1329</v>
      </c>
      <c r="E233" s="108">
        <v>45566</v>
      </c>
      <c r="F233" s="6" t="s">
        <v>641</v>
      </c>
      <c r="G233" s="199">
        <v>3221</v>
      </c>
      <c r="H233" s="199">
        <v>3221</v>
      </c>
      <c r="I233" s="199">
        <v>8063</v>
      </c>
      <c r="J233" s="199">
        <v>8063</v>
      </c>
      <c r="K233" s="199">
        <v>8063</v>
      </c>
      <c r="L233" s="199">
        <v>8063</v>
      </c>
      <c r="M233" s="199">
        <v>7551</v>
      </c>
      <c r="N233" s="199">
        <v>7551</v>
      </c>
      <c r="P233" s="108" t="s">
        <v>131</v>
      </c>
      <c r="Q233" s="108">
        <v>45536</v>
      </c>
      <c r="R233" s="6" t="s">
        <v>641</v>
      </c>
    </row>
    <row r="234" spans="1:18" x14ac:dyDescent="0.2">
      <c r="A234" s="126" t="s">
        <v>1230</v>
      </c>
      <c r="E234" s="108">
        <v>45597</v>
      </c>
      <c r="F234" s="6" t="s">
        <v>641</v>
      </c>
      <c r="G234" s="199">
        <v>3221</v>
      </c>
      <c r="H234" s="199">
        <v>3221</v>
      </c>
      <c r="I234" s="199">
        <v>8063</v>
      </c>
      <c r="J234" s="199">
        <v>8063</v>
      </c>
      <c r="K234" s="199">
        <v>8063</v>
      </c>
      <c r="L234" s="199">
        <v>8063</v>
      </c>
      <c r="M234" s="199">
        <v>7551</v>
      </c>
      <c r="N234" s="199">
        <v>7551</v>
      </c>
      <c r="P234" s="127" t="s">
        <v>14</v>
      </c>
      <c r="Q234" s="108">
        <v>45566</v>
      </c>
      <c r="R234" s="6" t="s">
        <v>641</v>
      </c>
    </row>
    <row r="235" spans="1:18" x14ac:dyDescent="0.2">
      <c r="A235" s="98" t="s">
        <v>810</v>
      </c>
      <c r="E235" s="108">
        <v>45627</v>
      </c>
      <c r="F235" s="6" t="s">
        <v>641</v>
      </c>
      <c r="G235" s="199">
        <v>3221</v>
      </c>
      <c r="H235" s="199">
        <v>3221</v>
      </c>
      <c r="I235" s="199">
        <v>8063</v>
      </c>
      <c r="J235" s="199">
        <v>8063</v>
      </c>
      <c r="K235" s="199">
        <v>8063</v>
      </c>
      <c r="L235" s="199">
        <v>8063</v>
      </c>
      <c r="M235" s="199">
        <v>7551</v>
      </c>
      <c r="N235" s="199">
        <v>7551</v>
      </c>
      <c r="P235" s="108" t="s">
        <v>137</v>
      </c>
      <c r="Q235" s="108">
        <v>45566</v>
      </c>
      <c r="R235" s="6" t="s">
        <v>641</v>
      </c>
    </row>
    <row r="236" spans="1:18" x14ac:dyDescent="0.2">
      <c r="A236" s="98" t="s">
        <v>701</v>
      </c>
      <c r="E236" s="108">
        <v>45658</v>
      </c>
      <c r="F236" s="6" t="s">
        <v>641</v>
      </c>
      <c r="G236" s="199">
        <v>3221</v>
      </c>
      <c r="H236" s="194">
        <f>ROUND(H235*1.04,0)</f>
        <v>3350</v>
      </c>
      <c r="I236" s="199">
        <v>8063</v>
      </c>
      <c r="J236" s="194">
        <f>ROUND(J235*1.04,0)</f>
        <v>8386</v>
      </c>
      <c r="K236" s="199">
        <v>8063</v>
      </c>
      <c r="L236" s="194">
        <f>ROUND(L235*1.04,0)</f>
        <v>8386</v>
      </c>
      <c r="M236" s="199">
        <v>7551</v>
      </c>
      <c r="N236" s="194">
        <f>ROUND(N235*1.04,0)</f>
        <v>7853</v>
      </c>
      <c r="P236" s="108" t="s">
        <v>13</v>
      </c>
      <c r="Q236" s="108">
        <v>45566</v>
      </c>
      <c r="R236" s="6" t="s">
        <v>641</v>
      </c>
    </row>
    <row r="237" spans="1:18" x14ac:dyDescent="0.2">
      <c r="A237" s="126" t="s">
        <v>843</v>
      </c>
      <c r="E237" s="108">
        <v>45689</v>
      </c>
      <c r="F237" s="6" t="s">
        <v>641</v>
      </c>
      <c r="G237" s="199">
        <v>3221</v>
      </c>
      <c r="H237" s="194">
        <v>3350</v>
      </c>
      <c r="I237" s="199">
        <v>8063</v>
      </c>
      <c r="J237" s="194">
        <v>8386</v>
      </c>
      <c r="K237" s="199">
        <v>8063</v>
      </c>
      <c r="L237" s="194">
        <v>8386</v>
      </c>
      <c r="M237" s="199">
        <v>7551</v>
      </c>
      <c r="N237" s="194">
        <v>7853</v>
      </c>
      <c r="P237" s="108" t="s">
        <v>12</v>
      </c>
      <c r="Q237" s="108">
        <v>45566</v>
      </c>
      <c r="R237" s="6" t="s">
        <v>641</v>
      </c>
    </row>
    <row r="238" spans="1:18" x14ac:dyDescent="0.2">
      <c r="A238" s="98" t="s">
        <v>822</v>
      </c>
      <c r="E238" s="108">
        <v>45717</v>
      </c>
      <c r="F238" s="6" t="s">
        <v>641</v>
      </c>
      <c r="G238" s="199">
        <v>3221</v>
      </c>
      <c r="H238" s="194">
        <v>3350</v>
      </c>
      <c r="I238" s="199">
        <v>8063</v>
      </c>
      <c r="J238" s="194">
        <v>8386</v>
      </c>
      <c r="K238" s="199">
        <v>8063</v>
      </c>
      <c r="L238" s="194">
        <v>8386</v>
      </c>
      <c r="M238" s="199">
        <v>7551</v>
      </c>
      <c r="N238" s="194">
        <v>7853</v>
      </c>
      <c r="P238" s="108" t="s">
        <v>131</v>
      </c>
      <c r="Q238" s="108">
        <v>45566</v>
      </c>
      <c r="R238" s="6" t="s">
        <v>641</v>
      </c>
    </row>
    <row r="239" spans="1:18" x14ac:dyDescent="0.2">
      <c r="A239" s="98" t="s">
        <v>434</v>
      </c>
      <c r="E239" s="108">
        <v>45748</v>
      </c>
      <c r="F239" s="6" t="s">
        <v>641</v>
      </c>
      <c r="G239" s="199">
        <v>3221</v>
      </c>
      <c r="H239" s="194">
        <v>3350</v>
      </c>
      <c r="I239" s="199">
        <v>8063</v>
      </c>
      <c r="J239" s="194">
        <v>8386</v>
      </c>
      <c r="K239" s="199">
        <v>8063</v>
      </c>
      <c r="L239" s="194">
        <v>8386</v>
      </c>
      <c r="M239" s="199">
        <v>7551</v>
      </c>
      <c r="N239" s="194">
        <v>7853</v>
      </c>
      <c r="P239" s="108" t="s">
        <v>141</v>
      </c>
      <c r="Q239" s="108">
        <v>45597</v>
      </c>
      <c r="R239" s="6" t="s">
        <v>641</v>
      </c>
    </row>
    <row r="240" spans="1:18" x14ac:dyDescent="0.2">
      <c r="A240" s="98" t="s">
        <v>504</v>
      </c>
      <c r="E240" s="108">
        <v>45778</v>
      </c>
      <c r="F240" s="6" t="s">
        <v>641</v>
      </c>
      <c r="G240" s="199">
        <v>3221</v>
      </c>
      <c r="H240" s="194">
        <v>3350</v>
      </c>
      <c r="I240" s="199">
        <v>8063</v>
      </c>
      <c r="J240" s="194">
        <v>8386</v>
      </c>
      <c r="K240" s="199">
        <v>8063</v>
      </c>
      <c r="L240" s="194">
        <v>8386</v>
      </c>
      <c r="M240" s="199">
        <v>7551</v>
      </c>
      <c r="N240" s="194">
        <v>7853</v>
      </c>
      <c r="P240" s="108" t="s">
        <v>137</v>
      </c>
      <c r="Q240" s="108">
        <v>45597</v>
      </c>
      <c r="R240" s="6" t="s">
        <v>641</v>
      </c>
    </row>
    <row r="241" spans="1:18" x14ac:dyDescent="0.2">
      <c r="A241" s="98" t="s">
        <v>268</v>
      </c>
      <c r="E241" s="108">
        <v>45809</v>
      </c>
      <c r="F241" s="6" t="s">
        <v>641</v>
      </c>
      <c r="G241" s="199">
        <v>3221</v>
      </c>
      <c r="H241" s="194">
        <v>3350</v>
      </c>
      <c r="I241" s="199">
        <v>8063</v>
      </c>
      <c r="J241" s="194">
        <v>8386</v>
      </c>
      <c r="K241" s="199">
        <v>8063</v>
      </c>
      <c r="L241" s="194">
        <v>8386</v>
      </c>
      <c r="M241" s="199">
        <v>7551</v>
      </c>
      <c r="N241" s="194">
        <v>7853</v>
      </c>
      <c r="P241" s="108" t="s">
        <v>13</v>
      </c>
      <c r="Q241" s="108">
        <v>45597</v>
      </c>
      <c r="R241" s="6" t="s">
        <v>641</v>
      </c>
    </row>
    <row r="242" spans="1:18" x14ac:dyDescent="0.2">
      <c r="A242" s="98" t="s">
        <v>269</v>
      </c>
      <c r="E242" s="108">
        <v>45839</v>
      </c>
      <c r="F242" s="6" t="s">
        <v>662</v>
      </c>
      <c r="G242" s="203">
        <v>3350</v>
      </c>
      <c r="H242" s="203">
        <v>3350</v>
      </c>
      <c r="I242" s="203">
        <v>8386</v>
      </c>
      <c r="J242" s="203">
        <v>8386</v>
      </c>
      <c r="K242" s="203">
        <v>8386</v>
      </c>
      <c r="L242" s="203">
        <v>8386</v>
      </c>
      <c r="M242" s="203">
        <v>7853</v>
      </c>
      <c r="N242" s="203">
        <v>7853</v>
      </c>
      <c r="O242" s="110"/>
      <c r="P242" s="108" t="s">
        <v>12</v>
      </c>
      <c r="Q242" s="108">
        <v>45597</v>
      </c>
      <c r="R242" s="6" t="s">
        <v>641</v>
      </c>
    </row>
    <row r="243" spans="1:18" x14ac:dyDescent="0.2">
      <c r="A243" s="98" t="s">
        <v>270</v>
      </c>
      <c r="E243" s="108">
        <v>45870</v>
      </c>
      <c r="F243" s="6" t="s">
        <v>662</v>
      </c>
      <c r="G243" s="203">
        <v>3350</v>
      </c>
      <c r="H243" s="203">
        <v>3350</v>
      </c>
      <c r="I243" s="203">
        <v>8386</v>
      </c>
      <c r="J243" s="203">
        <v>8386</v>
      </c>
      <c r="K243" s="203">
        <v>8386</v>
      </c>
      <c r="L243" s="203">
        <v>8386</v>
      </c>
      <c r="M243" s="203">
        <v>7853</v>
      </c>
      <c r="N243" s="203">
        <v>7853</v>
      </c>
      <c r="P243" s="108" t="s">
        <v>142</v>
      </c>
      <c r="Q243" s="108">
        <v>45597</v>
      </c>
      <c r="R243" s="6" t="s">
        <v>662</v>
      </c>
    </row>
    <row r="244" spans="1:18" x14ac:dyDescent="0.2">
      <c r="A244" s="98" t="s">
        <v>464</v>
      </c>
      <c r="E244" s="108">
        <v>45901</v>
      </c>
      <c r="F244" s="6" t="s">
        <v>662</v>
      </c>
      <c r="G244" s="203">
        <v>3350</v>
      </c>
      <c r="H244" s="203">
        <v>3350</v>
      </c>
      <c r="I244" s="203">
        <v>8386</v>
      </c>
      <c r="J244" s="203">
        <v>8386</v>
      </c>
      <c r="K244" s="203">
        <v>8386</v>
      </c>
      <c r="L244" s="203">
        <v>8386</v>
      </c>
      <c r="M244" s="203">
        <v>7853</v>
      </c>
      <c r="N244" s="203">
        <v>7853</v>
      </c>
      <c r="P244" s="108" t="s">
        <v>147</v>
      </c>
      <c r="Q244" s="108">
        <v>45627</v>
      </c>
      <c r="R244" s="6" t="s">
        <v>641</v>
      </c>
    </row>
    <row r="245" spans="1:18" x14ac:dyDescent="0.2">
      <c r="A245" s="98" t="s">
        <v>520</v>
      </c>
      <c r="E245" s="108">
        <v>45931</v>
      </c>
      <c r="F245" s="6" t="s">
        <v>662</v>
      </c>
      <c r="G245" s="203">
        <v>3350</v>
      </c>
      <c r="H245" s="203">
        <v>3350</v>
      </c>
      <c r="I245" s="203">
        <v>8386</v>
      </c>
      <c r="J245" s="203">
        <v>8386</v>
      </c>
      <c r="K245" s="203">
        <v>8386</v>
      </c>
      <c r="L245" s="203">
        <v>8386</v>
      </c>
      <c r="M245" s="203">
        <v>7853</v>
      </c>
      <c r="N245" s="203">
        <v>7853</v>
      </c>
      <c r="P245" s="108" t="s">
        <v>137</v>
      </c>
      <c r="Q245" s="108">
        <v>45627</v>
      </c>
      <c r="R245" s="6" t="s">
        <v>641</v>
      </c>
    </row>
    <row r="246" spans="1:18" x14ac:dyDescent="0.2">
      <c r="A246" s="98" t="s">
        <v>271</v>
      </c>
      <c r="E246" s="108">
        <v>45962</v>
      </c>
      <c r="F246" s="6" t="s">
        <v>662</v>
      </c>
      <c r="G246" s="203">
        <v>3350</v>
      </c>
      <c r="H246" s="203">
        <v>3350</v>
      </c>
      <c r="I246" s="203">
        <v>8386</v>
      </c>
      <c r="J246" s="203">
        <v>8386</v>
      </c>
      <c r="K246" s="203">
        <v>8386</v>
      </c>
      <c r="L246" s="203">
        <v>8386</v>
      </c>
      <c r="M246" s="203">
        <v>7853</v>
      </c>
      <c r="N246" s="203">
        <v>7853</v>
      </c>
      <c r="P246" s="108" t="s">
        <v>13</v>
      </c>
      <c r="Q246" s="108">
        <v>45627</v>
      </c>
      <c r="R246" s="6" t="s">
        <v>641</v>
      </c>
    </row>
    <row r="247" spans="1:18" x14ac:dyDescent="0.2">
      <c r="A247" s="98" t="s">
        <v>880</v>
      </c>
      <c r="E247" s="108">
        <v>45992</v>
      </c>
      <c r="F247" s="6" t="s">
        <v>662</v>
      </c>
      <c r="G247" s="203">
        <v>3350</v>
      </c>
      <c r="H247" s="203">
        <v>3350</v>
      </c>
      <c r="I247" s="203">
        <v>8386</v>
      </c>
      <c r="J247" s="203">
        <v>8386</v>
      </c>
      <c r="K247" s="203">
        <v>8386</v>
      </c>
      <c r="L247" s="203">
        <v>8386</v>
      </c>
      <c r="M247" s="203">
        <v>7853</v>
      </c>
      <c r="N247" s="203">
        <v>7853</v>
      </c>
      <c r="P247" s="108" t="s">
        <v>12</v>
      </c>
      <c r="Q247" s="108">
        <v>45627</v>
      </c>
      <c r="R247" s="6" t="s">
        <v>641</v>
      </c>
    </row>
    <row r="248" spans="1:18" x14ac:dyDescent="0.2">
      <c r="A248" s="98" t="s">
        <v>272</v>
      </c>
      <c r="E248" s="108">
        <v>46023</v>
      </c>
      <c r="F248" s="6" t="s">
        <v>662</v>
      </c>
      <c r="G248" s="203">
        <v>3350</v>
      </c>
      <c r="H248" s="194">
        <v>3484</v>
      </c>
      <c r="I248" s="203">
        <v>8386</v>
      </c>
      <c r="J248" s="194">
        <v>8721</v>
      </c>
      <c r="K248" s="203">
        <v>8386</v>
      </c>
      <c r="L248" s="194">
        <v>8721</v>
      </c>
      <c r="M248" s="203">
        <v>7853</v>
      </c>
      <c r="N248" s="194">
        <v>8167</v>
      </c>
      <c r="P248" s="108" t="s">
        <v>143</v>
      </c>
      <c r="Q248" s="108">
        <v>45627</v>
      </c>
      <c r="R248" s="6" t="s">
        <v>662</v>
      </c>
    </row>
    <row r="249" spans="1:18" x14ac:dyDescent="0.2">
      <c r="A249" s="126" t="s">
        <v>1052</v>
      </c>
      <c r="E249" s="108">
        <v>46054</v>
      </c>
      <c r="F249" s="6" t="s">
        <v>662</v>
      </c>
      <c r="G249" s="203">
        <v>3350</v>
      </c>
      <c r="H249" s="194">
        <v>3484</v>
      </c>
      <c r="I249" s="203">
        <v>8386</v>
      </c>
      <c r="J249" s="194">
        <v>8721</v>
      </c>
      <c r="K249" s="203">
        <v>8386</v>
      </c>
      <c r="L249" s="194">
        <v>8721</v>
      </c>
      <c r="M249" s="203">
        <v>7853</v>
      </c>
      <c r="N249" s="194">
        <v>8167</v>
      </c>
      <c r="P249" s="108" t="s">
        <v>137</v>
      </c>
      <c r="Q249" s="108">
        <v>45658</v>
      </c>
      <c r="R249" s="6" t="s">
        <v>641</v>
      </c>
    </row>
    <row r="250" spans="1:18" x14ac:dyDescent="0.2">
      <c r="A250" s="126" t="s">
        <v>744</v>
      </c>
      <c r="E250" s="108">
        <v>46082</v>
      </c>
      <c r="F250" s="6" t="s">
        <v>662</v>
      </c>
      <c r="G250" s="203">
        <v>3350</v>
      </c>
      <c r="H250" s="194">
        <v>3484</v>
      </c>
      <c r="I250" s="203">
        <v>8386</v>
      </c>
      <c r="J250" s="194">
        <v>8721</v>
      </c>
      <c r="K250" s="203">
        <v>8386</v>
      </c>
      <c r="L250" s="194">
        <v>8721</v>
      </c>
      <c r="M250" s="203">
        <v>7853</v>
      </c>
      <c r="N250" s="194">
        <v>8167</v>
      </c>
      <c r="P250" s="108" t="s">
        <v>13</v>
      </c>
      <c r="Q250" s="108">
        <v>45658</v>
      </c>
      <c r="R250" s="6" t="s">
        <v>641</v>
      </c>
    </row>
    <row r="251" spans="1:18" x14ac:dyDescent="0.2">
      <c r="A251" s="98" t="s">
        <v>881</v>
      </c>
      <c r="E251" s="108">
        <v>46113</v>
      </c>
      <c r="F251" s="6" t="s">
        <v>662</v>
      </c>
      <c r="G251" s="203">
        <v>3350</v>
      </c>
      <c r="H251" s="194">
        <v>3484</v>
      </c>
      <c r="I251" s="203">
        <v>8386</v>
      </c>
      <c r="J251" s="194">
        <v>8721</v>
      </c>
      <c r="K251" s="203">
        <v>8386</v>
      </c>
      <c r="L251" s="194">
        <v>8721</v>
      </c>
      <c r="M251" s="203">
        <v>7853</v>
      </c>
      <c r="N251" s="194">
        <v>8167</v>
      </c>
      <c r="P251" s="108" t="s">
        <v>12</v>
      </c>
      <c r="Q251" s="108">
        <v>45658</v>
      </c>
      <c r="R251" s="6" t="s">
        <v>641</v>
      </c>
    </row>
    <row r="252" spans="1:18" x14ac:dyDescent="0.2">
      <c r="A252" s="98" t="s">
        <v>882</v>
      </c>
      <c r="E252" s="108">
        <v>46143</v>
      </c>
      <c r="F252" s="6" t="s">
        <v>662</v>
      </c>
      <c r="G252" s="203">
        <v>3350</v>
      </c>
      <c r="H252" s="194">
        <v>3484</v>
      </c>
      <c r="I252" s="203">
        <v>8386</v>
      </c>
      <c r="J252" s="194">
        <v>8721</v>
      </c>
      <c r="K252" s="203">
        <v>8386</v>
      </c>
      <c r="L252" s="194">
        <v>8721</v>
      </c>
      <c r="M252" s="203">
        <v>7853</v>
      </c>
      <c r="N252" s="194">
        <v>8167</v>
      </c>
      <c r="P252" s="108" t="s">
        <v>14</v>
      </c>
      <c r="Q252" s="108">
        <v>45658</v>
      </c>
      <c r="R252" s="6" t="s">
        <v>662</v>
      </c>
    </row>
    <row r="253" spans="1:18" x14ac:dyDescent="0.2">
      <c r="A253" s="98" t="s">
        <v>883</v>
      </c>
      <c r="E253" s="108">
        <v>46174</v>
      </c>
      <c r="F253" s="6" t="s">
        <v>662</v>
      </c>
      <c r="G253" s="203">
        <v>3350</v>
      </c>
      <c r="H253" s="194">
        <v>3484</v>
      </c>
      <c r="I253" s="203">
        <v>8386</v>
      </c>
      <c r="J253" s="194">
        <v>8721</v>
      </c>
      <c r="K253" s="203">
        <v>8386</v>
      </c>
      <c r="L253" s="194">
        <v>8721</v>
      </c>
      <c r="M253" s="203">
        <v>7853</v>
      </c>
      <c r="N253" s="194">
        <v>8167</v>
      </c>
      <c r="P253" s="108" t="s">
        <v>131</v>
      </c>
      <c r="Q253" s="108">
        <v>45658</v>
      </c>
      <c r="R253" s="6" t="s">
        <v>662</v>
      </c>
    </row>
    <row r="254" spans="1:18" x14ac:dyDescent="0.2">
      <c r="A254" s="126" t="s">
        <v>636</v>
      </c>
      <c r="E254" s="108">
        <v>46204</v>
      </c>
      <c r="F254" s="6" t="s">
        <v>798</v>
      </c>
      <c r="G254" s="200">
        <v>3484</v>
      </c>
      <c r="H254" s="200">
        <v>3484</v>
      </c>
      <c r="I254" s="200">
        <v>8721</v>
      </c>
      <c r="J254" s="200">
        <v>8721</v>
      </c>
      <c r="K254" s="200">
        <v>8721</v>
      </c>
      <c r="L254" s="200">
        <v>8721</v>
      </c>
      <c r="M254" s="200">
        <v>8167</v>
      </c>
      <c r="N254" s="200">
        <v>8167</v>
      </c>
      <c r="O254" s="110"/>
      <c r="P254" s="108" t="s">
        <v>144</v>
      </c>
      <c r="Q254" s="108">
        <v>45689</v>
      </c>
      <c r="R254" s="6" t="s">
        <v>641</v>
      </c>
    </row>
    <row r="255" spans="1:18" x14ac:dyDescent="0.2">
      <c r="A255" s="98" t="s">
        <v>568</v>
      </c>
      <c r="E255" s="108">
        <v>46235</v>
      </c>
      <c r="F255" s="6" t="s">
        <v>798</v>
      </c>
      <c r="G255" s="200">
        <v>3484</v>
      </c>
      <c r="H255" s="200">
        <v>3484</v>
      </c>
      <c r="I255" s="200">
        <v>8721</v>
      </c>
      <c r="J255" s="200">
        <v>8721</v>
      </c>
      <c r="K255" s="200">
        <v>8721</v>
      </c>
      <c r="L255" s="200">
        <v>8721</v>
      </c>
      <c r="M255" s="200">
        <v>8167</v>
      </c>
      <c r="N255" s="200">
        <v>8167</v>
      </c>
      <c r="O255" s="110"/>
      <c r="P255" s="108" t="s">
        <v>13</v>
      </c>
      <c r="Q255" s="108">
        <v>45689</v>
      </c>
      <c r="R255" s="6" t="s">
        <v>641</v>
      </c>
    </row>
    <row r="256" spans="1:18" x14ac:dyDescent="0.2">
      <c r="A256" s="98" t="s">
        <v>642</v>
      </c>
      <c r="E256" s="108">
        <v>46266</v>
      </c>
      <c r="F256" s="6" t="s">
        <v>798</v>
      </c>
      <c r="G256" s="200">
        <v>3484</v>
      </c>
      <c r="H256" s="200">
        <v>3484</v>
      </c>
      <c r="I256" s="200">
        <v>8721</v>
      </c>
      <c r="J256" s="200">
        <v>8721</v>
      </c>
      <c r="K256" s="200">
        <v>8721</v>
      </c>
      <c r="L256" s="200">
        <v>8721</v>
      </c>
      <c r="M256" s="200">
        <v>8167</v>
      </c>
      <c r="N256" s="200">
        <v>8167</v>
      </c>
      <c r="P256" s="108" t="s">
        <v>12</v>
      </c>
      <c r="Q256" s="108">
        <v>45689</v>
      </c>
      <c r="R256" s="6" t="s">
        <v>641</v>
      </c>
    </row>
    <row r="257" spans="1:18" x14ac:dyDescent="0.2">
      <c r="A257" s="98" t="s">
        <v>273</v>
      </c>
      <c r="E257" s="108">
        <v>46296</v>
      </c>
      <c r="F257" s="6" t="s">
        <v>798</v>
      </c>
      <c r="G257" s="200">
        <v>3484</v>
      </c>
      <c r="H257" s="200">
        <v>3484</v>
      </c>
      <c r="I257" s="200">
        <v>8721</v>
      </c>
      <c r="J257" s="200">
        <v>8721</v>
      </c>
      <c r="K257" s="200">
        <v>8721</v>
      </c>
      <c r="L257" s="200">
        <v>8721</v>
      </c>
      <c r="M257" s="200">
        <v>8167</v>
      </c>
      <c r="N257" s="200">
        <v>8167</v>
      </c>
      <c r="P257" s="108" t="s">
        <v>14</v>
      </c>
      <c r="Q257" s="108">
        <v>45689</v>
      </c>
      <c r="R257" s="6" t="s">
        <v>662</v>
      </c>
    </row>
    <row r="258" spans="1:18" x14ac:dyDescent="0.2">
      <c r="A258" s="98" t="s">
        <v>435</v>
      </c>
      <c r="E258" s="108">
        <v>46327</v>
      </c>
      <c r="F258" s="6" t="s">
        <v>798</v>
      </c>
      <c r="G258" s="200">
        <v>3484</v>
      </c>
      <c r="H258" s="200">
        <v>3484</v>
      </c>
      <c r="I258" s="200">
        <v>8721</v>
      </c>
      <c r="J258" s="200">
        <v>8721</v>
      </c>
      <c r="K258" s="200">
        <v>8721</v>
      </c>
      <c r="L258" s="200">
        <v>8721</v>
      </c>
      <c r="M258" s="200">
        <v>8167</v>
      </c>
      <c r="N258" s="200">
        <v>8167</v>
      </c>
      <c r="P258" s="108" t="s">
        <v>145</v>
      </c>
      <c r="Q258" s="108">
        <v>45689</v>
      </c>
      <c r="R258" s="6" t="s">
        <v>662</v>
      </c>
    </row>
    <row r="259" spans="1:18" x14ac:dyDescent="0.2">
      <c r="A259" s="98" t="s">
        <v>692</v>
      </c>
      <c r="E259" s="108">
        <v>46357</v>
      </c>
      <c r="F259" s="6" t="s">
        <v>798</v>
      </c>
      <c r="G259" s="200">
        <v>3484</v>
      </c>
      <c r="H259" s="200">
        <v>3484</v>
      </c>
      <c r="I259" s="200">
        <v>8721</v>
      </c>
      <c r="J259" s="200">
        <v>8721</v>
      </c>
      <c r="K259" s="200">
        <v>8721</v>
      </c>
      <c r="L259" s="200">
        <v>8721</v>
      </c>
      <c r="M259" s="200">
        <v>8167</v>
      </c>
      <c r="N259" s="200">
        <v>8167</v>
      </c>
      <c r="P259" s="108" t="s">
        <v>146</v>
      </c>
      <c r="Q259" s="108">
        <v>45717</v>
      </c>
      <c r="R259" s="6" t="s">
        <v>641</v>
      </c>
    </row>
    <row r="260" spans="1:18" x14ac:dyDescent="0.2">
      <c r="A260" s="98" t="s">
        <v>884</v>
      </c>
      <c r="E260" s="108">
        <v>46388</v>
      </c>
      <c r="F260" s="6" t="s">
        <v>798</v>
      </c>
      <c r="G260" s="200">
        <v>3484</v>
      </c>
      <c r="H260" s="194">
        <v>3623</v>
      </c>
      <c r="I260" s="200">
        <v>8721</v>
      </c>
      <c r="J260" s="194">
        <v>9070</v>
      </c>
      <c r="K260" s="200">
        <v>8721</v>
      </c>
      <c r="L260" s="194">
        <v>9070</v>
      </c>
      <c r="M260" s="200">
        <v>8167</v>
      </c>
      <c r="N260" s="194">
        <v>8494</v>
      </c>
      <c r="P260" s="108" t="s">
        <v>13</v>
      </c>
      <c r="Q260" s="108">
        <v>45717</v>
      </c>
      <c r="R260" s="6" t="s">
        <v>641</v>
      </c>
    </row>
    <row r="261" spans="1:18" x14ac:dyDescent="0.2">
      <c r="A261" s="98" t="s">
        <v>885</v>
      </c>
      <c r="E261" s="108">
        <v>46419</v>
      </c>
      <c r="F261" s="6" t="s">
        <v>798</v>
      </c>
      <c r="G261" s="200">
        <v>3484</v>
      </c>
      <c r="H261" s="194">
        <v>3623</v>
      </c>
      <c r="I261" s="200">
        <v>8721</v>
      </c>
      <c r="J261" s="194">
        <v>9070</v>
      </c>
      <c r="K261" s="200">
        <v>8721</v>
      </c>
      <c r="L261" s="194">
        <v>9070</v>
      </c>
      <c r="M261" s="200">
        <v>8167</v>
      </c>
      <c r="N261" s="194">
        <v>8494</v>
      </c>
      <c r="P261" s="108" t="s">
        <v>12</v>
      </c>
      <c r="Q261" s="108">
        <v>45717</v>
      </c>
      <c r="R261" s="6" t="s">
        <v>641</v>
      </c>
    </row>
    <row r="262" spans="1:18" x14ac:dyDescent="0.2">
      <c r="A262" s="126" t="s">
        <v>844</v>
      </c>
      <c r="E262" s="108">
        <v>46447</v>
      </c>
      <c r="F262" s="6" t="s">
        <v>798</v>
      </c>
      <c r="G262" s="200">
        <v>3484</v>
      </c>
      <c r="H262" s="194">
        <v>3623</v>
      </c>
      <c r="I262" s="200">
        <v>8721</v>
      </c>
      <c r="J262" s="194">
        <v>9070</v>
      </c>
      <c r="K262" s="200">
        <v>8721</v>
      </c>
      <c r="L262" s="194">
        <v>9070</v>
      </c>
      <c r="M262" s="200">
        <v>8167</v>
      </c>
      <c r="N262" s="194">
        <v>8494</v>
      </c>
      <c r="P262" t="s">
        <v>14</v>
      </c>
      <c r="Q262" s="108">
        <v>45717</v>
      </c>
      <c r="R262" s="6" t="s">
        <v>662</v>
      </c>
    </row>
    <row r="263" spans="1:18" x14ac:dyDescent="0.2">
      <c r="A263" s="98" t="s">
        <v>838</v>
      </c>
      <c r="E263" s="108">
        <v>46478</v>
      </c>
      <c r="F263" s="6" t="s">
        <v>798</v>
      </c>
      <c r="G263" s="200">
        <v>3484</v>
      </c>
      <c r="H263" s="194">
        <v>3623</v>
      </c>
      <c r="I263" s="200">
        <v>8721</v>
      </c>
      <c r="J263" s="194">
        <v>9070</v>
      </c>
      <c r="K263" s="200">
        <v>8721</v>
      </c>
      <c r="L263" s="194">
        <v>9070</v>
      </c>
      <c r="M263" s="200">
        <v>8167</v>
      </c>
      <c r="N263" s="194">
        <v>8494</v>
      </c>
      <c r="P263" t="s">
        <v>148</v>
      </c>
      <c r="Q263" s="108">
        <v>45717</v>
      </c>
      <c r="R263" s="6" t="s">
        <v>662</v>
      </c>
    </row>
    <row r="264" spans="1:18" x14ac:dyDescent="0.2">
      <c r="A264" s="98" t="s">
        <v>886</v>
      </c>
      <c r="E264" s="108">
        <v>46508</v>
      </c>
      <c r="F264" s="6" t="s">
        <v>798</v>
      </c>
      <c r="G264" s="200">
        <v>3484</v>
      </c>
      <c r="H264" s="194">
        <v>3623</v>
      </c>
      <c r="I264" s="200">
        <v>8721</v>
      </c>
      <c r="J264" s="194">
        <v>9070</v>
      </c>
      <c r="K264" s="200">
        <v>8721</v>
      </c>
      <c r="L264" s="194">
        <v>9070</v>
      </c>
      <c r="M264" s="200">
        <v>8167</v>
      </c>
      <c r="N264" s="194">
        <v>8494</v>
      </c>
      <c r="P264" t="s">
        <v>149</v>
      </c>
      <c r="Q264" s="108">
        <v>45748</v>
      </c>
      <c r="R264" s="6" t="s">
        <v>641</v>
      </c>
    </row>
    <row r="265" spans="1:18" x14ac:dyDescent="0.2">
      <c r="A265" s="98" t="s">
        <v>702</v>
      </c>
      <c r="E265" s="108">
        <v>46539</v>
      </c>
      <c r="F265" s="6" t="s">
        <v>798</v>
      </c>
      <c r="G265" s="200">
        <v>3484</v>
      </c>
      <c r="H265" s="194">
        <v>3623</v>
      </c>
      <c r="I265" s="200">
        <v>8721</v>
      </c>
      <c r="J265" s="194">
        <v>9070</v>
      </c>
      <c r="K265" s="200">
        <v>8721</v>
      </c>
      <c r="L265" s="194">
        <v>9070</v>
      </c>
      <c r="M265" s="200">
        <v>8167</v>
      </c>
      <c r="N265" s="194">
        <v>8494</v>
      </c>
      <c r="P265" t="s">
        <v>13</v>
      </c>
      <c r="Q265" s="108">
        <v>45748</v>
      </c>
      <c r="R265" s="6" t="s">
        <v>641</v>
      </c>
    </row>
    <row r="266" spans="1:18" x14ac:dyDescent="0.2">
      <c r="A266" s="98" t="s">
        <v>1272</v>
      </c>
      <c r="E266" s="108">
        <v>46569</v>
      </c>
      <c r="F266" s="6" t="s">
        <v>801</v>
      </c>
      <c r="G266" s="202">
        <v>3623</v>
      </c>
      <c r="H266" s="202">
        <v>3623</v>
      </c>
      <c r="I266" s="202">
        <v>9070</v>
      </c>
      <c r="J266" s="202">
        <v>9070</v>
      </c>
      <c r="K266" s="202">
        <v>9070</v>
      </c>
      <c r="L266" s="202">
        <v>9070</v>
      </c>
      <c r="M266" s="202">
        <v>8494</v>
      </c>
      <c r="N266" s="202">
        <v>8494</v>
      </c>
      <c r="O266" s="110"/>
      <c r="P266" t="s">
        <v>12</v>
      </c>
      <c r="Q266" s="108">
        <v>45748</v>
      </c>
      <c r="R266" s="6" t="s">
        <v>641</v>
      </c>
    </row>
    <row r="267" spans="1:18" x14ac:dyDescent="0.2">
      <c r="A267" s="98" t="s">
        <v>887</v>
      </c>
      <c r="E267" s="108">
        <v>46600</v>
      </c>
      <c r="F267" s="6" t="s">
        <v>801</v>
      </c>
      <c r="G267" s="202">
        <v>3623</v>
      </c>
      <c r="H267" s="202">
        <v>3623</v>
      </c>
      <c r="I267" s="202">
        <v>9070</v>
      </c>
      <c r="J267" s="202">
        <v>9070</v>
      </c>
      <c r="K267" s="202">
        <v>9070</v>
      </c>
      <c r="L267" s="202">
        <v>9070</v>
      </c>
      <c r="M267" s="202">
        <v>8494</v>
      </c>
      <c r="N267" s="202">
        <v>8494</v>
      </c>
      <c r="O267" s="110"/>
      <c r="P267" t="s">
        <v>14</v>
      </c>
      <c r="Q267" s="108">
        <v>45748</v>
      </c>
      <c r="R267" s="6" t="s">
        <v>662</v>
      </c>
    </row>
    <row r="268" spans="1:18" x14ac:dyDescent="0.2">
      <c r="A268" s="98" t="s">
        <v>1273</v>
      </c>
      <c r="E268" s="108">
        <v>46631</v>
      </c>
      <c r="F268" s="6" t="s">
        <v>801</v>
      </c>
      <c r="G268" s="202">
        <v>3623</v>
      </c>
      <c r="H268" s="202">
        <v>3623</v>
      </c>
      <c r="I268" s="202">
        <v>9070</v>
      </c>
      <c r="J268" s="202">
        <v>9070</v>
      </c>
      <c r="K268" s="202">
        <v>9070</v>
      </c>
      <c r="L268" s="202">
        <v>9070</v>
      </c>
      <c r="M268" s="202">
        <v>8494</v>
      </c>
      <c r="N268" s="202">
        <v>8494</v>
      </c>
      <c r="P268" t="s">
        <v>150</v>
      </c>
      <c r="Q268" s="108">
        <v>45748</v>
      </c>
      <c r="R268" s="6" t="s">
        <v>662</v>
      </c>
    </row>
    <row r="269" spans="1:18" x14ac:dyDescent="0.2">
      <c r="A269" s="98" t="s">
        <v>758</v>
      </c>
      <c r="E269" s="108">
        <v>46661</v>
      </c>
      <c r="F269" s="6" t="s">
        <v>801</v>
      </c>
      <c r="G269" s="202">
        <v>3623</v>
      </c>
      <c r="H269" s="202">
        <v>3623</v>
      </c>
      <c r="I269" s="202">
        <v>9070</v>
      </c>
      <c r="J269" s="202">
        <v>9070</v>
      </c>
      <c r="K269" s="202">
        <v>9070</v>
      </c>
      <c r="L269" s="202">
        <v>9070</v>
      </c>
      <c r="M269" s="202">
        <v>8494</v>
      </c>
      <c r="N269" s="202">
        <v>8494</v>
      </c>
      <c r="P269" t="s">
        <v>151</v>
      </c>
      <c r="Q269" s="108">
        <v>45778</v>
      </c>
      <c r="R269" s="6" t="s">
        <v>641</v>
      </c>
    </row>
    <row r="270" spans="1:18" x14ac:dyDescent="0.2">
      <c r="A270" s="126" t="s">
        <v>1231</v>
      </c>
      <c r="E270" s="108">
        <v>46692</v>
      </c>
      <c r="F270" s="6" t="s">
        <v>801</v>
      </c>
      <c r="G270" s="202">
        <v>3623</v>
      </c>
      <c r="H270" s="202">
        <v>3623</v>
      </c>
      <c r="I270" s="202">
        <v>9070</v>
      </c>
      <c r="J270" s="202">
        <v>9070</v>
      </c>
      <c r="K270" s="202">
        <v>9070</v>
      </c>
      <c r="L270" s="202">
        <v>9070</v>
      </c>
      <c r="M270" s="202">
        <v>8494</v>
      </c>
      <c r="N270" s="202">
        <v>8494</v>
      </c>
      <c r="P270" t="s">
        <v>13</v>
      </c>
      <c r="Q270" s="108">
        <v>45778</v>
      </c>
      <c r="R270" s="6" t="s">
        <v>641</v>
      </c>
    </row>
    <row r="271" spans="1:18" x14ac:dyDescent="0.2">
      <c r="A271" s="98" t="s">
        <v>888</v>
      </c>
      <c r="E271" s="108">
        <v>46722</v>
      </c>
      <c r="F271" s="6" t="s">
        <v>801</v>
      </c>
      <c r="G271" s="202">
        <v>3623</v>
      </c>
      <c r="H271" s="202">
        <v>3623</v>
      </c>
      <c r="I271" s="202">
        <v>9070</v>
      </c>
      <c r="J271" s="202">
        <v>9070</v>
      </c>
      <c r="K271" s="202">
        <v>9070</v>
      </c>
      <c r="L271" s="202">
        <v>9070</v>
      </c>
      <c r="M271" s="202">
        <v>8494</v>
      </c>
      <c r="N271" s="202">
        <v>8494</v>
      </c>
      <c r="P271" t="s">
        <v>12</v>
      </c>
      <c r="Q271" s="108">
        <v>45778</v>
      </c>
      <c r="R271" s="6" t="s">
        <v>641</v>
      </c>
    </row>
    <row r="272" spans="1:18" x14ac:dyDescent="0.2">
      <c r="A272" s="126" t="s">
        <v>605</v>
      </c>
      <c r="E272" s="108">
        <v>46753</v>
      </c>
      <c r="F272" s="6" t="s">
        <v>801</v>
      </c>
      <c r="G272" s="202">
        <v>3623</v>
      </c>
      <c r="H272" s="194">
        <v>3768</v>
      </c>
      <c r="I272" s="202">
        <v>9070</v>
      </c>
      <c r="J272" s="194">
        <v>9433</v>
      </c>
      <c r="K272" s="202">
        <v>9070</v>
      </c>
      <c r="L272" s="194">
        <v>9433</v>
      </c>
      <c r="M272" s="202">
        <v>8494</v>
      </c>
      <c r="N272" s="194">
        <v>8834</v>
      </c>
      <c r="P272" s="6" t="s">
        <v>14</v>
      </c>
      <c r="Q272" s="108">
        <v>45778</v>
      </c>
      <c r="R272" s="6" t="s">
        <v>662</v>
      </c>
    </row>
    <row r="273" spans="1:18" x14ac:dyDescent="0.2">
      <c r="A273" s="126" t="s">
        <v>889</v>
      </c>
      <c r="E273" s="108">
        <v>46784</v>
      </c>
      <c r="F273" s="6" t="s">
        <v>801</v>
      </c>
      <c r="G273" s="202">
        <v>3623</v>
      </c>
      <c r="H273" s="194">
        <v>3768</v>
      </c>
      <c r="I273" s="202">
        <v>9070</v>
      </c>
      <c r="J273" s="194">
        <v>9433</v>
      </c>
      <c r="K273" s="202">
        <v>9070</v>
      </c>
      <c r="L273" s="194">
        <v>9433</v>
      </c>
      <c r="M273" s="202">
        <v>8494</v>
      </c>
      <c r="N273" s="194">
        <v>8834</v>
      </c>
      <c r="P273" t="s">
        <v>152</v>
      </c>
      <c r="Q273" s="108">
        <v>45778</v>
      </c>
      <c r="R273" s="6" t="s">
        <v>662</v>
      </c>
    </row>
    <row r="274" spans="1:18" x14ac:dyDescent="0.2">
      <c r="A274" s="98" t="s">
        <v>274</v>
      </c>
      <c r="E274" s="108">
        <v>46813</v>
      </c>
      <c r="F274" s="6" t="s">
        <v>801</v>
      </c>
      <c r="G274" s="202">
        <v>3623</v>
      </c>
      <c r="H274" s="194">
        <v>3768</v>
      </c>
      <c r="I274" s="202">
        <v>9070</v>
      </c>
      <c r="J274" s="194">
        <v>9433</v>
      </c>
      <c r="K274" s="202">
        <v>9070</v>
      </c>
      <c r="L274" s="194">
        <v>9433</v>
      </c>
      <c r="M274" s="202">
        <v>8494</v>
      </c>
      <c r="N274" s="194">
        <v>8834</v>
      </c>
      <c r="P274" t="s">
        <v>13</v>
      </c>
      <c r="Q274" s="108">
        <v>45809</v>
      </c>
      <c r="R274" s="6" t="s">
        <v>641</v>
      </c>
    </row>
    <row r="275" spans="1:18" x14ac:dyDescent="0.2">
      <c r="A275" s="98" t="s">
        <v>1232</v>
      </c>
      <c r="E275" s="108">
        <v>46844</v>
      </c>
      <c r="F275" s="6" t="s">
        <v>801</v>
      </c>
      <c r="G275" s="202">
        <v>3623</v>
      </c>
      <c r="H275" s="194">
        <v>3768</v>
      </c>
      <c r="I275" s="202">
        <v>9070</v>
      </c>
      <c r="J275" s="194">
        <v>9433</v>
      </c>
      <c r="K275" s="202">
        <v>9070</v>
      </c>
      <c r="L275" s="194">
        <v>9433</v>
      </c>
      <c r="M275" s="202">
        <v>8494</v>
      </c>
      <c r="N275" s="194">
        <v>8834</v>
      </c>
      <c r="P275" t="s">
        <v>12</v>
      </c>
      <c r="Q275" s="108">
        <v>45809</v>
      </c>
      <c r="R275" s="6" t="s">
        <v>641</v>
      </c>
    </row>
    <row r="276" spans="1:18" x14ac:dyDescent="0.2">
      <c r="A276" s="126" t="s">
        <v>890</v>
      </c>
      <c r="E276" s="108">
        <v>46874</v>
      </c>
      <c r="F276" s="6" t="s">
        <v>801</v>
      </c>
      <c r="G276" s="202">
        <v>3623</v>
      </c>
      <c r="H276" s="194">
        <v>3768</v>
      </c>
      <c r="I276" s="202">
        <v>9070</v>
      </c>
      <c r="J276" s="194">
        <v>9433</v>
      </c>
      <c r="K276" s="202">
        <v>9070</v>
      </c>
      <c r="L276" s="194">
        <v>9433</v>
      </c>
      <c r="M276" s="202">
        <v>8494</v>
      </c>
      <c r="N276" s="194">
        <v>8834</v>
      </c>
      <c r="P276" t="s">
        <v>14</v>
      </c>
      <c r="Q276" s="108">
        <v>45809</v>
      </c>
      <c r="R276" s="6" t="s">
        <v>662</v>
      </c>
    </row>
    <row r="277" spans="1:18" x14ac:dyDescent="0.2">
      <c r="A277" s="126" t="s">
        <v>891</v>
      </c>
      <c r="E277" s="108">
        <v>46905</v>
      </c>
      <c r="F277" s="6" t="s">
        <v>801</v>
      </c>
      <c r="G277" s="202">
        <v>3623</v>
      </c>
      <c r="H277" s="194">
        <v>3768</v>
      </c>
      <c r="I277" s="202">
        <v>9070</v>
      </c>
      <c r="J277" s="194">
        <v>9433</v>
      </c>
      <c r="K277" s="202">
        <v>9070</v>
      </c>
      <c r="L277" s="194">
        <v>9433</v>
      </c>
      <c r="M277" s="202">
        <v>8494</v>
      </c>
      <c r="N277" s="194">
        <v>8834</v>
      </c>
      <c r="P277" t="s">
        <v>137</v>
      </c>
      <c r="Q277" s="108">
        <v>45809</v>
      </c>
      <c r="R277" s="6" t="s">
        <v>662</v>
      </c>
    </row>
    <row r="278" spans="1:18" x14ac:dyDescent="0.2">
      <c r="A278" s="126" t="s">
        <v>1274</v>
      </c>
      <c r="E278" s="108">
        <v>46935</v>
      </c>
      <c r="F278" s="6" t="s">
        <v>875</v>
      </c>
      <c r="G278" s="201">
        <v>3768</v>
      </c>
      <c r="H278" s="201">
        <v>3768</v>
      </c>
      <c r="I278" s="201">
        <v>9433</v>
      </c>
      <c r="J278" s="201">
        <v>9433</v>
      </c>
      <c r="K278" s="201">
        <v>9433</v>
      </c>
      <c r="L278" s="201">
        <v>9433</v>
      </c>
      <c r="M278" s="201">
        <v>8834</v>
      </c>
      <c r="N278" s="201">
        <v>8834</v>
      </c>
      <c r="O278" s="110"/>
      <c r="P278" t="s">
        <v>131</v>
      </c>
      <c r="Q278" s="108">
        <v>45809</v>
      </c>
      <c r="R278" s="6" t="s">
        <v>662</v>
      </c>
    </row>
    <row r="279" spans="1:18" x14ac:dyDescent="0.2">
      <c r="A279" s="98" t="s">
        <v>275</v>
      </c>
      <c r="E279" s="108">
        <v>46966</v>
      </c>
      <c r="F279" s="6" t="s">
        <v>875</v>
      </c>
      <c r="G279" s="201">
        <v>3768</v>
      </c>
      <c r="H279" s="201">
        <v>3768</v>
      </c>
      <c r="I279" s="201">
        <v>9433</v>
      </c>
      <c r="J279" s="201">
        <v>9433</v>
      </c>
      <c r="K279" s="201">
        <v>9433</v>
      </c>
      <c r="L279" s="201">
        <v>9433</v>
      </c>
      <c r="M279" s="201">
        <v>8834</v>
      </c>
      <c r="N279" s="201">
        <v>8834</v>
      </c>
      <c r="O279" s="110"/>
      <c r="P279" s="108" t="s">
        <v>138</v>
      </c>
      <c r="Q279" s="108">
        <v>45839</v>
      </c>
      <c r="R279" s="6" t="s">
        <v>641</v>
      </c>
    </row>
    <row r="280" spans="1:18" x14ac:dyDescent="0.2">
      <c r="A280" s="98" t="s">
        <v>276</v>
      </c>
      <c r="E280" s="108">
        <v>46997</v>
      </c>
      <c r="F280" s="6" t="s">
        <v>875</v>
      </c>
      <c r="G280" s="201">
        <v>3768</v>
      </c>
      <c r="H280" s="201">
        <v>3768</v>
      </c>
      <c r="I280" s="201">
        <v>9433</v>
      </c>
      <c r="J280" s="201">
        <v>9433</v>
      </c>
      <c r="K280" s="201">
        <v>9433</v>
      </c>
      <c r="L280" s="201">
        <v>9433</v>
      </c>
      <c r="M280" s="201">
        <v>8834</v>
      </c>
      <c r="N280" s="201">
        <v>8834</v>
      </c>
      <c r="P280" s="108" t="s">
        <v>12</v>
      </c>
      <c r="Q280" s="108">
        <v>45839</v>
      </c>
      <c r="R280" s="6" t="s">
        <v>641</v>
      </c>
    </row>
    <row r="281" spans="1:18" x14ac:dyDescent="0.2">
      <c r="A281" s="98" t="s">
        <v>703</v>
      </c>
      <c r="E281" s="108">
        <v>47027</v>
      </c>
      <c r="F281" s="6" t="s">
        <v>875</v>
      </c>
      <c r="G281" s="201">
        <v>3768</v>
      </c>
      <c r="H281" s="201">
        <v>3768</v>
      </c>
      <c r="I281" s="201">
        <v>9433</v>
      </c>
      <c r="J281" s="201">
        <v>9433</v>
      </c>
      <c r="K281" s="201">
        <v>9433</v>
      </c>
      <c r="L281" s="201">
        <v>9433</v>
      </c>
      <c r="M281" s="201">
        <v>8834</v>
      </c>
      <c r="N281" s="201">
        <v>8834</v>
      </c>
      <c r="P281" s="108" t="s">
        <v>14</v>
      </c>
      <c r="Q281" s="108">
        <v>45839</v>
      </c>
      <c r="R281" s="6" t="s">
        <v>662</v>
      </c>
    </row>
    <row r="282" spans="1:18" x14ac:dyDescent="0.2">
      <c r="A282" s="126" t="s">
        <v>892</v>
      </c>
      <c r="E282" s="108">
        <v>47058</v>
      </c>
      <c r="F282" s="6" t="s">
        <v>875</v>
      </c>
      <c r="G282" s="201">
        <v>3768</v>
      </c>
      <c r="H282" s="201">
        <v>3768</v>
      </c>
      <c r="I282" s="201">
        <v>9433</v>
      </c>
      <c r="J282" s="201">
        <v>9433</v>
      </c>
      <c r="K282" s="201">
        <v>9433</v>
      </c>
      <c r="L282" s="201">
        <v>9433</v>
      </c>
      <c r="M282" s="201">
        <v>8834</v>
      </c>
      <c r="N282" s="201">
        <v>8834</v>
      </c>
      <c r="P282" s="108" t="s">
        <v>137</v>
      </c>
      <c r="Q282" s="108">
        <v>45839</v>
      </c>
      <c r="R282" s="6" t="s">
        <v>662</v>
      </c>
    </row>
    <row r="283" spans="1:18" x14ac:dyDescent="0.2">
      <c r="A283" s="98" t="s">
        <v>704</v>
      </c>
      <c r="E283" s="108">
        <v>47088</v>
      </c>
      <c r="F283" s="6" t="s">
        <v>875</v>
      </c>
      <c r="G283" s="201">
        <v>3768</v>
      </c>
      <c r="H283" s="201">
        <v>3768</v>
      </c>
      <c r="I283" s="201">
        <v>9433</v>
      </c>
      <c r="J283" s="201">
        <v>9433</v>
      </c>
      <c r="K283" s="201">
        <v>9433</v>
      </c>
      <c r="L283" s="201">
        <v>9433</v>
      </c>
      <c r="M283" s="201">
        <v>8834</v>
      </c>
      <c r="N283" s="201">
        <v>8834</v>
      </c>
      <c r="P283" s="108" t="s">
        <v>204</v>
      </c>
      <c r="Q283" s="108">
        <v>45839</v>
      </c>
      <c r="R283" s="6" t="s">
        <v>662</v>
      </c>
    </row>
    <row r="284" spans="1:18" x14ac:dyDescent="0.2">
      <c r="A284" s="126" t="s">
        <v>759</v>
      </c>
      <c r="E284" s="108">
        <v>47119</v>
      </c>
      <c r="F284" s="6" t="s">
        <v>875</v>
      </c>
      <c r="G284" s="201">
        <v>3768</v>
      </c>
      <c r="H284" s="194">
        <v>3919</v>
      </c>
      <c r="I284" s="201">
        <v>9433</v>
      </c>
      <c r="J284" s="194">
        <v>9810</v>
      </c>
      <c r="K284" s="201">
        <v>9433</v>
      </c>
      <c r="L284" s="194">
        <v>9810</v>
      </c>
      <c r="M284" s="201">
        <v>8834</v>
      </c>
      <c r="N284" s="194">
        <v>9187</v>
      </c>
      <c r="P284" s="108" t="s">
        <v>139</v>
      </c>
      <c r="Q284" s="108">
        <v>45870</v>
      </c>
      <c r="R284" s="6" t="s">
        <v>641</v>
      </c>
    </row>
    <row r="285" spans="1:18" x14ac:dyDescent="0.2">
      <c r="A285" s="126" t="s">
        <v>1053</v>
      </c>
      <c r="E285" s="108">
        <v>47150</v>
      </c>
      <c r="F285" s="6" t="s">
        <v>875</v>
      </c>
      <c r="G285" s="201">
        <v>3768</v>
      </c>
      <c r="H285" s="194">
        <v>3919</v>
      </c>
      <c r="I285" s="201">
        <v>9433</v>
      </c>
      <c r="J285" s="194">
        <v>9810</v>
      </c>
      <c r="K285" s="201">
        <v>9433</v>
      </c>
      <c r="L285" s="194">
        <v>9810</v>
      </c>
      <c r="M285" s="201">
        <v>8834</v>
      </c>
      <c r="N285" s="194">
        <v>9187</v>
      </c>
      <c r="P285" s="108" t="s">
        <v>12</v>
      </c>
      <c r="Q285" s="108">
        <v>45870</v>
      </c>
      <c r="R285" s="6" t="s">
        <v>641</v>
      </c>
    </row>
    <row r="286" spans="1:18" x14ac:dyDescent="0.2">
      <c r="A286" s="98" t="s">
        <v>277</v>
      </c>
      <c r="E286" s="108">
        <v>47178</v>
      </c>
      <c r="F286" s="6" t="s">
        <v>875</v>
      </c>
      <c r="G286" s="201">
        <v>3768</v>
      </c>
      <c r="H286" s="194">
        <v>3919</v>
      </c>
      <c r="I286" s="201">
        <v>9433</v>
      </c>
      <c r="J286" s="194">
        <v>9810</v>
      </c>
      <c r="K286" s="201">
        <v>9433</v>
      </c>
      <c r="L286" s="194">
        <v>9810</v>
      </c>
      <c r="M286" s="201">
        <v>8834</v>
      </c>
      <c r="N286" s="194">
        <v>9187</v>
      </c>
      <c r="P286" s="108" t="s">
        <v>14</v>
      </c>
      <c r="Q286" s="108">
        <v>45870</v>
      </c>
      <c r="R286" s="6" t="s">
        <v>662</v>
      </c>
    </row>
    <row r="287" spans="1:18" x14ac:dyDescent="0.2">
      <c r="A287" s="126" t="s">
        <v>1233</v>
      </c>
      <c r="E287" s="108">
        <v>47209</v>
      </c>
      <c r="F287" s="6" t="s">
        <v>875</v>
      </c>
      <c r="G287" s="201">
        <v>3768</v>
      </c>
      <c r="H287" s="194">
        <v>3919</v>
      </c>
      <c r="I287" s="201">
        <v>9433</v>
      </c>
      <c r="J287" s="194">
        <v>9810</v>
      </c>
      <c r="K287" s="201">
        <v>9433</v>
      </c>
      <c r="L287" s="194">
        <v>9810</v>
      </c>
      <c r="M287" s="201">
        <v>8834</v>
      </c>
      <c r="N287" s="194">
        <v>9187</v>
      </c>
      <c r="P287" s="108" t="s">
        <v>137</v>
      </c>
      <c r="Q287" s="108">
        <v>45870</v>
      </c>
      <c r="R287" s="6" t="s">
        <v>662</v>
      </c>
    </row>
    <row r="288" spans="1:18" x14ac:dyDescent="0.2">
      <c r="A288" s="98" t="s">
        <v>278</v>
      </c>
      <c r="E288" s="108">
        <v>47239</v>
      </c>
      <c r="F288" s="6" t="s">
        <v>875</v>
      </c>
      <c r="G288" s="201">
        <v>3768</v>
      </c>
      <c r="H288" s="194">
        <v>3919</v>
      </c>
      <c r="I288" s="201">
        <v>9433</v>
      </c>
      <c r="J288" s="194">
        <v>9810</v>
      </c>
      <c r="K288" s="201">
        <v>9433</v>
      </c>
      <c r="L288" s="194">
        <v>9810</v>
      </c>
      <c r="M288" s="201">
        <v>8834</v>
      </c>
      <c r="N288" s="194">
        <v>9187</v>
      </c>
      <c r="P288" s="108" t="s">
        <v>140</v>
      </c>
      <c r="Q288" s="108">
        <v>45870</v>
      </c>
      <c r="R288" s="6" t="s">
        <v>662</v>
      </c>
    </row>
    <row r="289" spans="1:18" x14ac:dyDescent="0.2">
      <c r="A289" s="98" t="s">
        <v>1275</v>
      </c>
      <c r="E289" s="108">
        <v>47270</v>
      </c>
      <c r="F289" s="6" t="s">
        <v>875</v>
      </c>
      <c r="G289" s="201">
        <v>3768</v>
      </c>
      <c r="H289" s="194">
        <v>3919</v>
      </c>
      <c r="I289" s="201">
        <v>9433</v>
      </c>
      <c r="J289" s="194">
        <v>9810</v>
      </c>
      <c r="K289" s="201">
        <v>9433</v>
      </c>
      <c r="L289" s="194">
        <v>9810</v>
      </c>
      <c r="M289" s="201">
        <v>8834</v>
      </c>
      <c r="N289" s="194">
        <v>9187</v>
      </c>
      <c r="P289" s="108" t="s">
        <v>12</v>
      </c>
      <c r="Q289" s="108">
        <v>45901</v>
      </c>
      <c r="R289" s="6" t="s">
        <v>641</v>
      </c>
    </row>
    <row r="290" spans="1:18" x14ac:dyDescent="0.2">
      <c r="A290" s="98" t="s">
        <v>664</v>
      </c>
      <c r="E290" s="108">
        <v>47300</v>
      </c>
      <c r="F290" s="6" t="s">
        <v>1128</v>
      </c>
      <c r="G290" s="201">
        <v>3919</v>
      </c>
      <c r="H290" s="201">
        <v>3919</v>
      </c>
      <c r="I290" s="201">
        <v>9810</v>
      </c>
      <c r="J290" s="201">
        <v>9810</v>
      </c>
      <c r="K290" s="201">
        <v>9810</v>
      </c>
      <c r="L290" s="201">
        <v>9810</v>
      </c>
      <c r="M290" s="201">
        <v>9187</v>
      </c>
      <c r="N290" s="201">
        <v>9187</v>
      </c>
      <c r="O290" s="110"/>
      <c r="P290" s="108" t="s">
        <v>14</v>
      </c>
      <c r="Q290" s="108">
        <v>45901</v>
      </c>
      <c r="R290" s="6" t="s">
        <v>662</v>
      </c>
    </row>
    <row r="291" spans="1:18" x14ac:dyDescent="0.2">
      <c r="A291" s="126" t="s">
        <v>893</v>
      </c>
      <c r="E291" s="108">
        <v>47331</v>
      </c>
      <c r="F291" s="6" t="s">
        <v>1128</v>
      </c>
      <c r="G291" s="201">
        <v>3919</v>
      </c>
      <c r="H291" s="201">
        <v>3919</v>
      </c>
      <c r="I291" s="201">
        <v>9810</v>
      </c>
      <c r="J291" s="201">
        <v>9810</v>
      </c>
      <c r="K291" s="201">
        <v>9810</v>
      </c>
      <c r="L291" s="201">
        <v>9810</v>
      </c>
      <c r="M291" s="201">
        <v>9187</v>
      </c>
      <c r="N291" s="201">
        <v>9187</v>
      </c>
      <c r="O291" s="110"/>
      <c r="P291" s="108" t="s">
        <v>137</v>
      </c>
      <c r="Q291" s="108">
        <v>45901</v>
      </c>
      <c r="R291" s="6" t="s">
        <v>662</v>
      </c>
    </row>
    <row r="292" spans="1:18" x14ac:dyDescent="0.2">
      <c r="A292" s="126" t="s">
        <v>894</v>
      </c>
      <c r="E292" s="108">
        <v>47362</v>
      </c>
      <c r="F292" s="6" t="s">
        <v>1128</v>
      </c>
      <c r="G292" s="201">
        <v>3919</v>
      </c>
      <c r="H292" s="201">
        <v>3919</v>
      </c>
      <c r="I292" s="201">
        <v>9810</v>
      </c>
      <c r="J292" s="201">
        <v>9810</v>
      </c>
      <c r="K292" s="201">
        <v>9810</v>
      </c>
      <c r="L292" s="201">
        <v>9810</v>
      </c>
      <c r="M292" s="201">
        <v>9187</v>
      </c>
      <c r="N292" s="201">
        <v>9187</v>
      </c>
      <c r="P292" s="108" t="s">
        <v>13</v>
      </c>
      <c r="Q292" s="108">
        <v>45901</v>
      </c>
      <c r="R292" s="6" t="s">
        <v>662</v>
      </c>
    </row>
    <row r="293" spans="1:18" x14ac:dyDescent="0.2">
      <c r="A293" s="98" t="s">
        <v>705</v>
      </c>
      <c r="E293" s="108">
        <v>47392</v>
      </c>
      <c r="F293" s="6" t="s">
        <v>1128</v>
      </c>
      <c r="G293" s="201">
        <v>3919</v>
      </c>
      <c r="H293" s="201">
        <v>3919</v>
      </c>
      <c r="I293" s="201">
        <v>9810</v>
      </c>
      <c r="J293" s="201">
        <v>9810</v>
      </c>
      <c r="K293" s="201">
        <v>9810</v>
      </c>
      <c r="L293" s="201">
        <v>9810</v>
      </c>
      <c r="M293" s="201">
        <v>9187</v>
      </c>
      <c r="N293" s="201">
        <v>9187</v>
      </c>
      <c r="P293" s="108" t="s">
        <v>131</v>
      </c>
      <c r="Q293" s="108">
        <v>45901</v>
      </c>
      <c r="R293" s="6" t="s">
        <v>662</v>
      </c>
    </row>
    <row r="294" spans="1:18" x14ac:dyDescent="0.2">
      <c r="A294" s="98" t="s">
        <v>706</v>
      </c>
      <c r="E294" s="108">
        <v>47423</v>
      </c>
      <c r="F294" s="6" t="s">
        <v>1128</v>
      </c>
      <c r="G294" s="201">
        <v>3919</v>
      </c>
      <c r="H294" s="201">
        <v>3919</v>
      </c>
      <c r="I294" s="201">
        <v>9810</v>
      </c>
      <c r="J294" s="201">
        <v>9810</v>
      </c>
      <c r="K294" s="201">
        <v>9810</v>
      </c>
      <c r="L294" s="201">
        <v>9810</v>
      </c>
      <c r="M294" s="201">
        <v>9187</v>
      </c>
      <c r="N294" s="201">
        <v>9187</v>
      </c>
      <c r="P294" s="127" t="s">
        <v>14</v>
      </c>
      <c r="Q294" s="108">
        <v>45931</v>
      </c>
      <c r="R294" s="6" t="s">
        <v>662</v>
      </c>
    </row>
    <row r="295" spans="1:18" x14ac:dyDescent="0.2">
      <c r="A295" s="126" t="s">
        <v>895</v>
      </c>
      <c r="E295" s="108">
        <v>47453</v>
      </c>
      <c r="F295" s="6" t="s">
        <v>1128</v>
      </c>
      <c r="G295" s="201">
        <v>3919</v>
      </c>
      <c r="H295" s="201">
        <v>3919</v>
      </c>
      <c r="I295" s="201">
        <v>9810</v>
      </c>
      <c r="J295" s="201">
        <v>9810</v>
      </c>
      <c r="K295" s="201">
        <v>9810</v>
      </c>
      <c r="L295" s="201">
        <v>9810</v>
      </c>
      <c r="M295" s="201">
        <v>9187</v>
      </c>
      <c r="N295" s="201">
        <v>9187</v>
      </c>
      <c r="P295" s="108" t="s">
        <v>137</v>
      </c>
      <c r="Q295" s="108">
        <v>45931</v>
      </c>
      <c r="R295" s="6" t="s">
        <v>662</v>
      </c>
    </row>
    <row r="296" spans="1:18" x14ac:dyDescent="0.2">
      <c r="A296" s="98" t="s">
        <v>707</v>
      </c>
      <c r="E296" s="108">
        <v>47484</v>
      </c>
      <c r="F296" s="6" t="s">
        <v>1128</v>
      </c>
      <c r="G296" s="201">
        <v>3919</v>
      </c>
      <c r="H296" s="194">
        <v>4076</v>
      </c>
      <c r="I296" s="201">
        <v>9810</v>
      </c>
      <c r="J296" s="194">
        <v>10202</v>
      </c>
      <c r="K296" s="201">
        <v>9810</v>
      </c>
      <c r="L296" s="194">
        <v>10202</v>
      </c>
      <c r="M296" s="201">
        <v>9187</v>
      </c>
      <c r="N296" s="194">
        <v>9554</v>
      </c>
      <c r="P296" s="108" t="s">
        <v>13</v>
      </c>
      <c r="Q296" s="108">
        <v>45931</v>
      </c>
      <c r="R296" s="6" t="s">
        <v>662</v>
      </c>
    </row>
    <row r="297" spans="1:18" x14ac:dyDescent="0.2">
      <c r="A297" s="98" t="s">
        <v>708</v>
      </c>
      <c r="E297" s="108">
        <v>47515</v>
      </c>
      <c r="F297" s="6" t="s">
        <v>1128</v>
      </c>
      <c r="G297" s="201">
        <v>3919</v>
      </c>
      <c r="H297" s="194">
        <v>4076</v>
      </c>
      <c r="I297" s="201">
        <v>9810</v>
      </c>
      <c r="J297" s="194">
        <v>10202</v>
      </c>
      <c r="K297" s="201">
        <v>9810</v>
      </c>
      <c r="L297" s="194">
        <v>10202</v>
      </c>
      <c r="M297" s="201">
        <v>9187</v>
      </c>
      <c r="N297" s="194">
        <v>9554</v>
      </c>
      <c r="P297" s="108" t="s">
        <v>12</v>
      </c>
      <c r="Q297" s="108">
        <v>45931</v>
      </c>
      <c r="R297" s="6" t="s">
        <v>662</v>
      </c>
    </row>
    <row r="298" spans="1:18" x14ac:dyDescent="0.2">
      <c r="A298" s="126" t="s">
        <v>760</v>
      </c>
      <c r="E298" s="108">
        <v>47543</v>
      </c>
      <c r="F298" s="6" t="s">
        <v>1128</v>
      </c>
      <c r="G298" s="201">
        <v>3919</v>
      </c>
      <c r="H298" s="194">
        <v>4076</v>
      </c>
      <c r="I298" s="201">
        <v>9810</v>
      </c>
      <c r="J298" s="194">
        <v>10202</v>
      </c>
      <c r="K298" s="201">
        <v>9810</v>
      </c>
      <c r="L298" s="194">
        <v>10202</v>
      </c>
      <c r="M298" s="201">
        <v>9187</v>
      </c>
      <c r="N298" s="194">
        <v>9554</v>
      </c>
      <c r="P298" s="108" t="s">
        <v>131</v>
      </c>
      <c r="Q298" s="108">
        <v>45931</v>
      </c>
      <c r="R298" s="6" t="s">
        <v>662</v>
      </c>
    </row>
    <row r="299" spans="1:18" x14ac:dyDescent="0.2">
      <c r="A299" s="126" t="s">
        <v>896</v>
      </c>
      <c r="E299" s="108">
        <v>47574</v>
      </c>
      <c r="F299" s="6" t="s">
        <v>1128</v>
      </c>
      <c r="G299" s="201">
        <v>3919</v>
      </c>
      <c r="H299" s="194">
        <v>4076</v>
      </c>
      <c r="I299" s="201">
        <v>9810</v>
      </c>
      <c r="J299" s="194">
        <v>10202</v>
      </c>
      <c r="K299" s="201">
        <v>9810</v>
      </c>
      <c r="L299" s="194">
        <v>10202</v>
      </c>
      <c r="M299" s="201">
        <v>9187</v>
      </c>
      <c r="N299" s="194">
        <v>9554</v>
      </c>
      <c r="P299" s="108" t="s">
        <v>141</v>
      </c>
      <c r="Q299" s="108">
        <v>45962</v>
      </c>
      <c r="R299" s="6" t="s">
        <v>662</v>
      </c>
    </row>
    <row r="300" spans="1:18" x14ac:dyDescent="0.2">
      <c r="A300" s="98" t="s">
        <v>279</v>
      </c>
      <c r="E300" s="108">
        <v>47604</v>
      </c>
      <c r="F300" s="6" t="s">
        <v>1128</v>
      </c>
      <c r="G300" s="201">
        <v>3919</v>
      </c>
      <c r="H300" s="194">
        <v>4076</v>
      </c>
      <c r="I300" s="201">
        <v>9810</v>
      </c>
      <c r="J300" s="194">
        <v>10202</v>
      </c>
      <c r="K300" s="201">
        <v>9810</v>
      </c>
      <c r="L300" s="194">
        <v>10202</v>
      </c>
      <c r="M300" s="201">
        <v>9187</v>
      </c>
      <c r="N300" s="194">
        <v>9554</v>
      </c>
      <c r="P300" s="108" t="s">
        <v>137</v>
      </c>
      <c r="Q300" s="108">
        <v>45962</v>
      </c>
      <c r="R300" s="6" t="s">
        <v>662</v>
      </c>
    </row>
    <row r="301" spans="1:18" x14ac:dyDescent="0.2">
      <c r="A301" s="126" t="s">
        <v>1330</v>
      </c>
      <c r="E301" s="108">
        <v>47635</v>
      </c>
      <c r="F301" s="6" t="s">
        <v>1128</v>
      </c>
      <c r="G301" s="201">
        <v>3919</v>
      </c>
      <c r="H301" s="194">
        <v>4076</v>
      </c>
      <c r="I301" s="201">
        <v>9810</v>
      </c>
      <c r="J301" s="194">
        <v>10202</v>
      </c>
      <c r="K301" s="201">
        <v>9810</v>
      </c>
      <c r="L301" s="194">
        <v>10202</v>
      </c>
      <c r="M301" s="201">
        <v>9187</v>
      </c>
      <c r="N301" s="194">
        <v>9554</v>
      </c>
      <c r="P301" s="108" t="s">
        <v>13</v>
      </c>
      <c r="Q301" s="108">
        <v>45962</v>
      </c>
      <c r="R301" s="6" t="s">
        <v>662</v>
      </c>
    </row>
    <row r="302" spans="1:18" x14ac:dyDescent="0.2">
      <c r="A302" s="126" t="s">
        <v>862</v>
      </c>
      <c r="E302" s="108">
        <v>47665</v>
      </c>
      <c r="F302" s="6" t="s">
        <v>1262</v>
      </c>
      <c r="G302" s="201">
        <v>4076</v>
      </c>
      <c r="H302" s="201">
        <v>4076</v>
      </c>
      <c r="I302" s="201">
        <v>10202</v>
      </c>
      <c r="J302" s="201">
        <v>10202</v>
      </c>
      <c r="K302" s="201">
        <v>10202</v>
      </c>
      <c r="L302" s="201">
        <v>10202</v>
      </c>
      <c r="M302" s="201">
        <v>9554</v>
      </c>
      <c r="N302" s="201">
        <v>9554</v>
      </c>
      <c r="P302" s="108" t="s">
        <v>12</v>
      </c>
      <c r="Q302" s="108">
        <v>45962</v>
      </c>
      <c r="R302" s="6" t="s">
        <v>662</v>
      </c>
    </row>
    <row r="303" spans="1:18" x14ac:dyDescent="0.2">
      <c r="A303" s="98" t="s">
        <v>280</v>
      </c>
      <c r="E303" s="108">
        <v>47696</v>
      </c>
      <c r="F303" s="6" t="s">
        <v>1262</v>
      </c>
      <c r="G303" s="201">
        <v>4076</v>
      </c>
      <c r="H303" s="201">
        <v>4076</v>
      </c>
      <c r="I303" s="201">
        <v>10202</v>
      </c>
      <c r="J303" s="201">
        <v>10202</v>
      </c>
      <c r="K303" s="201">
        <v>10202</v>
      </c>
      <c r="L303" s="201">
        <v>10202</v>
      </c>
      <c r="M303" s="201">
        <v>9554</v>
      </c>
      <c r="N303" s="201">
        <v>9554</v>
      </c>
      <c r="P303" s="108" t="s">
        <v>142</v>
      </c>
      <c r="Q303" s="108">
        <v>45962</v>
      </c>
      <c r="R303" s="6" t="s">
        <v>798</v>
      </c>
    </row>
    <row r="304" spans="1:18" x14ac:dyDescent="0.2">
      <c r="A304" s="98" t="s">
        <v>281</v>
      </c>
      <c r="E304" s="108">
        <v>47727</v>
      </c>
      <c r="F304" s="6" t="s">
        <v>1262</v>
      </c>
      <c r="G304" s="201">
        <v>4076</v>
      </c>
      <c r="H304" s="201">
        <v>4076</v>
      </c>
      <c r="I304" s="201">
        <v>10202</v>
      </c>
      <c r="J304" s="201">
        <v>10202</v>
      </c>
      <c r="K304" s="201">
        <v>10202</v>
      </c>
      <c r="L304" s="201">
        <v>10202</v>
      </c>
      <c r="M304" s="201">
        <v>9554</v>
      </c>
      <c r="N304" s="201">
        <v>9554</v>
      </c>
      <c r="P304" s="108" t="s">
        <v>147</v>
      </c>
      <c r="Q304" s="108">
        <v>45992</v>
      </c>
      <c r="R304" s="6" t="s">
        <v>662</v>
      </c>
    </row>
    <row r="305" spans="1:18" x14ac:dyDescent="0.2">
      <c r="A305" s="98" t="s">
        <v>282</v>
      </c>
      <c r="E305" s="108">
        <v>47757</v>
      </c>
      <c r="F305" s="6" t="s">
        <v>1262</v>
      </c>
      <c r="G305" s="201">
        <v>4076</v>
      </c>
      <c r="H305" s="201">
        <v>4076</v>
      </c>
      <c r="I305" s="201">
        <v>10202</v>
      </c>
      <c r="J305" s="201">
        <v>10202</v>
      </c>
      <c r="K305" s="201">
        <v>10202</v>
      </c>
      <c r="L305" s="201">
        <v>10202</v>
      </c>
      <c r="M305" s="201">
        <v>9554</v>
      </c>
      <c r="N305" s="201">
        <v>9554</v>
      </c>
      <c r="P305" s="108" t="s">
        <v>137</v>
      </c>
      <c r="Q305" s="108">
        <v>45992</v>
      </c>
      <c r="R305" s="6" t="s">
        <v>662</v>
      </c>
    </row>
    <row r="306" spans="1:18" x14ac:dyDescent="0.2">
      <c r="A306" s="98" t="s">
        <v>283</v>
      </c>
      <c r="E306" s="108">
        <v>47788</v>
      </c>
      <c r="F306" s="6" t="s">
        <v>1262</v>
      </c>
      <c r="G306" s="201">
        <v>4076</v>
      </c>
      <c r="H306" s="201">
        <v>4076</v>
      </c>
      <c r="I306" s="201">
        <v>10202</v>
      </c>
      <c r="J306" s="201">
        <v>10202</v>
      </c>
      <c r="K306" s="201">
        <v>10202</v>
      </c>
      <c r="L306" s="201">
        <v>10202</v>
      </c>
      <c r="M306" s="201">
        <v>9554</v>
      </c>
      <c r="N306" s="201">
        <v>9554</v>
      </c>
      <c r="P306" s="108" t="s">
        <v>13</v>
      </c>
      <c r="Q306" s="108">
        <v>45992</v>
      </c>
      <c r="R306" s="6" t="s">
        <v>662</v>
      </c>
    </row>
    <row r="307" spans="1:18" x14ac:dyDescent="0.2">
      <c r="A307" s="126" t="s">
        <v>761</v>
      </c>
      <c r="E307" s="108">
        <v>47818</v>
      </c>
      <c r="F307" s="6" t="s">
        <v>1262</v>
      </c>
      <c r="G307" s="201">
        <v>4076</v>
      </c>
      <c r="H307" s="201">
        <v>4076</v>
      </c>
      <c r="I307" s="201">
        <v>10202</v>
      </c>
      <c r="J307" s="201">
        <v>10202</v>
      </c>
      <c r="K307" s="201">
        <v>10202</v>
      </c>
      <c r="L307" s="201">
        <v>10202</v>
      </c>
      <c r="M307" s="201">
        <v>9554</v>
      </c>
      <c r="N307" s="201">
        <v>9554</v>
      </c>
      <c r="P307" s="108" t="s">
        <v>12</v>
      </c>
      <c r="Q307" s="108">
        <v>45992</v>
      </c>
      <c r="R307" s="6" t="s">
        <v>662</v>
      </c>
    </row>
    <row r="308" spans="1:18" x14ac:dyDescent="0.2">
      <c r="A308" s="98" t="s">
        <v>569</v>
      </c>
      <c r="E308" s="108">
        <v>47849</v>
      </c>
      <c r="F308" s="6" t="s">
        <v>1262</v>
      </c>
      <c r="G308" s="201">
        <v>4076</v>
      </c>
      <c r="H308" s="194">
        <v>4239</v>
      </c>
      <c r="I308" s="201">
        <v>10202</v>
      </c>
      <c r="J308" s="194">
        <v>10610</v>
      </c>
      <c r="K308" s="201">
        <v>10202</v>
      </c>
      <c r="L308" s="194">
        <v>10610</v>
      </c>
      <c r="M308" s="201">
        <v>9554</v>
      </c>
      <c r="N308" s="194">
        <v>9936</v>
      </c>
      <c r="P308" s="108" t="s">
        <v>143</v>
      </c>
      <c r="Q308" s="108">
        <v>45992</v>
      </c>
      <c r="R308" s="6" t="s">
        <v>798</v>
      </c>
    </row>
    <row r="309" spans="1:18" x14ac:dyDescent="0.2">
      <c r="A309" s="98" t="s">
        <v>637</v>
      </c>
      <c r="E309" s="108">
        <v>47880</v>
      </c>
      <c r="F309" s="6" t="s">
        <v>1262</v>
      </c>
      <c r="G309" s="201">
        <v>4076</v>
      </c>
      <c r="H309" s="194">
        <v>4239</v>
      </c>
      <c r="I309" s="201">
        <v>10202</v>
      </c>
      <c r="J309" s="194">
        <v>10610</v>
      </c>
      <c r="K309" s="201">
        <v>10202</v>
      </c>
      <c r="L309" s="194">
        <v>10610</v>
      </c>
      <c r="M309" s="201">
        <v>9554</v>
      </c>
      <c r="N309" s="194">
        <v>9936</v>
      </c>
      <c r="P309" s="108" t="s">
        <v>137</v>
      </c>
      <c r="Q309" s="108">
        <v>46023</v>
      </c>
      <c r="R309" s="6" t="s">
        <v>662</v>
      </c>
    </row>
    <row r="310" spans="1:18" x14ac:dyDescent="0.2">
      <c r="A310" s="98" t="s">
        <v>1276</v>
      </c>
      <c r="E310" s="108">
        <v>47908</v>
      </c>
      <c r="F310" s="6" t="s">
        <v>1262</v>
      </c>
      <c r="G310" s="201">
        <v>4076</v>
      </c>
      <c r="H310" s="194">
        <v>4239</v>
      </c>
      <c r="I310" s="201">
        <v>10202</v>
      </c>
      <c r="J310" s="194">
        <v>10610</v>
      </c>
      <c r="K310" s="201">
        <v>10202</v>
      </c>
      <c r="L310" s="194">
        <v>10610</v>
      </c>
      <c r="M310" s="201">
        <v>9554</v>
      </c>
      <c r="N310" s="194">
        <v>9936</v>
      </c>
      <c r="P310" s="108" t="s">
        <v>13</v>
      </c>
      <c r="Q310" s="108">
        <v>46023</v>
      </c>
      <c r="R310" s="6" t="s">
        <v>662</v>
      </c>
    </row>
    <row r="311" spans="1:18" x14ac:dyDescent="0.2">
      <c r="A311" s="98" t="s">
        <v>831</v>
      </c>
      <c r="E311" s="108">
        <v>47939</v>
      </c>
      <c r="F311" s="6" t="s">
        <v>1262</v>
      </c>
      <c r="G311" s="201">
        <v>4076</v>
      </c>
      <c r="H311" s="194">
        <v>4239</v>
      </c>
      <c r="I311" s="201">
        <v>10202</v>
      </c>
      <c r="J311" s="194">
        <v>10610</v>
      </c>
      <c r="K311" s="201">
        <v>10202</v>
      </c>
      <c r="L311" s="194">
        <v>10610</v>
      </c>
      <c r="M311" s="201">
        <v>9554</v>
      </c>
      <c r="N311" s="194">
        <v>9936</v>
      </c>
      <c r="P311" s="108" t="s">
        <v>12</v>
      </c>
      <c r="Q311" s="108">
        <v>46023</v>
      </c>
      <c r="R311" s="6" t="s">
        <v>662</v>
      </c>
    </row>
    <row r="312" spans="1:18" x14ac:dyDescent="0.2">
      <c r="A312" s="126" t="s">
        <v>681</v>
      </c>
      <c r="E312" s="108">
        <v>47969</v>
      </c>
      <c r="F312" s="6" t="s">
        <v>1262</v>
      </c>
      <c r="G312" s="201">
        <v>4076</v>
      </c>
      <c r="H312" s="194">
        <v>4239</v>
      </c>
      <c r="I312" s="201">
        <v>10202</v>
      </c>
      <c r="J312" s="194">
        <v>10610</v>
      </c>
      <c r="K312" s="201">
        <v>10202</v>
      </c>
      <c r="L312" s="194">
        <v>10610</v>
      </c>
      <c r="M312" s="201">
        <v>9554</v>
      </c>
      <c r="N312" s="194">
        <v>9936</v>
      </c>
      <c r="P312" s="108" t="s">
        <v>14</v>
      </c>
      <c r="Q312" s="108">
        <v>46023</v>
      </c>
      <c r="R312" s="6" t="s">
        <v>798</v>
      </c>
    </row>
    <row r="313" spans="1:18" x14ac:dyDescent="0.2">
      <c r="A313" s="98" t="s">
        <v>284</v>
      </c>
      <c r="E313" s="108">
        <v>48000</v>
      </c>
      <c r="F313" s="6" t="s">
        <v>1262</v>
      </c>
      <c r="G313" s="201">
        <v>4076</v>
      </c>
      <c r="H313" s="194">
        <v>4239</v>
      </c>
      <c r="I313" s="201">
        <v>10202</v>
      </c>
      <c r="J313" s="194">
        <v>10610</v>
      </c>
      <c r="K313" s="201">
        <v>10202</v>
      </c>
      <c r="L313" s="194">
        <v>10610</v>
      </c>
      <c r="M313" s="201">
        <v>9554</v>
      </c>
      <c r="N313" s="194">
        <v>9936</v>
      </c>
      <c r="P313" s="108" t="s">
        <v>131</v>
      </c>
      <c r="Q313" s="108">
        <v>46023</v>
      </c>
      <c r="R313" s="6" t="s">
        <v>798</v>
      </c>
    </row>
    <row r="314" spans="1:18" x14ac:dyDescent="0.2">
      <c r="A314" s="98" t="s">
        <v>709</v>
      </c>
      <c r="E314" s="127">
        <v>48030</v>
      </c>
      <c r="F314" s="6" t="s">
        <v>1263</v>
      </c>
      <c r="G314" s="201">
        <v>4239</v>
      </c>
      <c r="H314" s="201">
        <v>4239</v>
      </c>
      <c r="I314" s="201">
        <v>10610</v>
      </c>
      <c r="J314" s="201">
        <v>10610</v>
      </c>
      <c r="K314" s="201">
        <v>10610</v>
      </c>
      <c r="L314" s="201">
        <v>10610</v>
      </c>
      <c r="M314" s="201">
        <v>9936</v>
      </c>
      <c r="N314" s="201">
        <v>9936</v>
      </c>
      <c r="P314" s="108" t="s">
        <v>144</v>
      </c>
      <c r="Q314" s="108">
        <v>46054</v>
      </c>
      <c r="R314" s="6" t="s">
        <v>662</v>
      </c>
    </row>
    <row r="315" spans="1:18" x14ac:dyDescent="0.2">
      <c r="A315" s="98" t="s">
        <v>823</v>
      </c>
      <c r="E315" s="108">
        <v>48061</v>
      </c>
      <c r="F315" s="6" t="s">
        <v>1263</v>
      </c>
      <c r="G315" s="201">
        <v>4239</v>
      </c>
      <c r="H315" s="201">
        <v>4239</v>
      </c>
      <c r="I315" s="201">
        <v>10610</v>
      </c>
      <c r="J315" s="201">
        <v>10610</v>
      </c>
      <c r="K315" s="201">
        <v>10610</v>
      </c>
      <c r="L315" s="201">
        <v>10610</v>
      </c>
      <c r="M315" s="201">
        <v>9936</v>
      </c>
      <c r="N315" s="201">
        <v>9936</v>
      </c>
      <c r="P315" s="108" t="s">
        <v>13</v>
      </c>
      <c r="Q315" s="108">
        <v>46054</v>
      </c>
      <c r="R315" s="6" t="s">
        <v>662</v>
      </c>
    </row>
    <row r="316" spans="1:18" x14ac:dyDescent="0.2">
      <c r="A316" s="126" t="s">
        <v>762</v>
      </c>
      <c r="E316" s="108">
        <v>48092</v>
      </c>
      <c r="F316" s="6" t="s">
        <v>1263</v>
      </c>
      <c r="G316" s="201">
        <v>4239</v>
      </c>
      <c r="H316" s="201">
        <v>4239</v>
      </c>
      <c r="I316" s="201">
        <v>10610</v>
      </c>
      <c r="J316" s="201">
        <v>10610</v>
      </c>
      <c r="K316" s="201">
        <v>10610</v>
      </c>
      <c r="L316" s="201">
        <v>10610</v>
      </c>
      <c r="M316" s="201">
        <v>9936</v>
      </c>
      <c r="N316" s="201">
        <v>9936</v>
      </c>
      <c r="P316" s="108" t="s">
        <v>12</v>
      </c>
      <c r="Q316" s="108">
        <v>46054</v>
      </c>
      <c r="R316" s="6" t="s">
        <v>662</v>
      </c>
    </row>
    <row r="317" spans="1:18" x14ac:dyDescent="0.2">
      <c r="A317" s="126" t="s">
        <v>832</v>
      </c>
      <c r="E317" s="127">
        <v>48122</v>
      </c>
      <c r="F317" s="6" t="s">
        <v>1263</v>
      </c>
      <c r="G317" s="201">
        <v>4239</v>
      </c>
      <c r="H317" s="201">
        <v>4239</v>
      </c>
      <c r="I317" s="201">
        <v>10610</v>
      </c>
      <c r="J317" s="201">
        <v>10610</v>
      </c>
      <c r="K317" s="201">
        <v>10610</v>
      </c>
      <c r="L317" s="201">
        <v>10610</v>
      </c>
      <c r="M317" s="201">
        <v>9936</v>
      </c>
      <c r="N317" s="201">
        <v>9936</v>
      </c>
      <c r="P317" s="108" t="s">
        <v>14</v>
      </c>
      <c r="Q317" s="108">
        <v>46054</v>
      </c>
      <c r="R317" s="6" t="s">
        <v>798</v>
      </c>
    </row>
    <row r="318" spans="1:18" x14ac:dyDescent="0.2">
      <c r="A318" s="126" t="s">
        <v>1277</v>
      </c>
      <c r="E318" s="108">
        <v>48153</v>
      </c>
      <c r="F318" s="6" t="s">
        <v>1263</v>
      </c>
      <c r="G318" s="201">
        <v>4239</v>
      </c>
      <c r="H318" s="201">
        <v>4239</v>
      </c>
      <c r="I318" s="201">
        <v>10610</v>
      </c>
      <c r="J318" s="201">
        <v>10610</v>
      </c>
      <c r="K318" s="201">
        <v>10610</v>
      </c>
      <c r="L318" s="201">
        <v>10610</v>
      </c>
      <c r="M318" s="201">
        <v>9936</v>
      </c>
      <c r="N318" s="201">
        <v>9936</v>
      </c>
      <c r="P318" s="108" t="s">
        <v>145</v>
      </c>
      <c r="Q318" s="108">
        <v>46054</v>
      </c>
      <c r="R318" s="6" t="s">
        <v>798</v>
      </c>
    </row>
    <row r="319" spans="1:18" x14ac:dyDescent="0.2">
      <c r="A319" s="98" t="s">
        <v>285</v>
      </c>
      <c r="E319" s="108">
        <v>48183</v>
      </c>
      <c r="F319" s="6" t="s">
        <v>1263</v>
      </c>
      <c r="G319" s="201">
        <v>4239</v>
      </c>
      <c r="H319" s="201">
        <v>4239</v>
      </c>
      <c r="I319" s="201">
        <v>10610</v>
      </c>
      <c r="J319" s="201">
        <v>10610</v>
      </c>
      <c r="K319" s="201">
        <v>10610</v>
      </c>
      <c r="L319" s="201">
        <v>10610</v>
      </c>
      <c r="M319" s="201">
        <v>9936</v>
      </c>
      <c r="N319" s="201">
        <v>9936</v>
      </c>
      <c r="P319" s="108" t="s">
        <v>146</v>
      </c>
      <c r="Q319" s="108">
        <v>46082</v>
      </c>
      <c r="R319" s="6" t="s">
        <v>662</v>
      </c>
    </row>
    <row r="320" spans="1:18" x14ac:dyDescent="0.2">
      <c r="A320" s="98" t="s">
        <v>570</v>
      </c>
      <c r="E320" s="108">
        <v>48214</v>
      </c>
      <c r="F320" s="6" t="s">
        <v>1263</v>
      </c>
      <c r="G320" s="201">
        <v>4239</v>
      </c>
      <c r="H320" s="194">
        <v>4409</v>
      </c>
      <c r="I320" s="201">
        <v>10610</v>
      </c>
      <c r="J320" s="194">
        <v>11034</v>
      </c>
      <c r="K320" s="201">
        <v>10610</v>
      </c>
      <c r="L320" s="194">
        <v>11034</v>
      </c>
      <c r="M320" s="201">
        <v>9936</v>
      </c>
      <c r="N320" s="194">
        <v>10333</v>
      </c>
      <c r="P320" s="108" t="s">
        <v>13</v>
      </c>
      <c r="Q320" s="108">
        <v>46082</v>
      </c>
      <c r="R320" s="6" t="s">
        <v>662</v>
      </c>
    </row>
    <row r="321" spans="1:18" x14ac:dyDescent="0.2">
      <c r="A321" s="98" t="s">
        <v>763</v>
      </c>
      <c r="E321" s="108">
        <v>48245</v>
      </c>
      <c r="F321" s="6" t="s">
        <v>1263</v>
      </c>
      <c r="G321" s="201">
        <v>4239</v>
      </c>
      <c r="H321" s="194">
        <v>4409</v>
      </c>
      <c r="I321" s="201">
        <v>10610</v>
      </c>
      <c r="J321" s="194">
        <v>11034</v>
      </c>
      <c r="K321" s="201">
        <v>10610</v>
      </c>
      <c r="L321" s="194">
        <v>11034</v>
      </c>
      <c r="M321" s="201">
        <v>9936</v>
      </c>
      <c r="N321" s="194">
        <v>10333</v>
      </c>
      <c r="P321" s="108" t="s">
        <v>12</v>
      </c>
      <c r="Q321" s="108">
        <v>46082</v>
      </c>
      <c r="R321" s="6" t="s">
        <v>662</v>
      </c>
    </row>
    <row r="322" spans="1:18" x14ac:dyDescent="0.2">
      <c r="A322" s="126" t="s">
        <v>897</v>
      </c>
      <c r="E322" s="108">
        <v>48274</v>
      </c>
      <c r="F322" s="6" t="s">
        <v>1263</v>
      </c>
      <c r="G322" s="201">
        <v>4239</v>
      </c>
      <c r="H322" s="194">
        <v>4409</v>
      </c>
      <c r="I322" s="201">
        <v>10610</v>
      </c>
      <c r="J322" s="194">
        <v>11034</v>
      </c>
      <c r="K322" s="201">
        <v>10610</v>
      </c>
      <c r="L322" s="194">
        <v>11034</v>
      </c>
      <c r="M322" s="201">
        <v>9936</v>
      </c>
      <c r="N322" s="194">
        <v>10333</v>
      </c>
      <c r="P322" t="s">
        <v>14</v>
      </c>
      <c r="Q322" s="108">
        <v>46082</v>
      </c>
      <c r="R322" s="6" t="s">
        <v>798</v>
      </c>
    </row>
    <row r="323" spans="1:18" x14ac:dyDescent="0.2">
      <c r="A323" s="126" t="s">
        <v>1234</v>
      </c>
      <c r="E323" s="108">
        <v>48305</v>
      </c>
      <c r="F323" s="6" t="s">
        <v>1263</v>
      </c>
      <c r="G323" s="201">
        <v>4239</v>
      </c>
      <c r="H323" s="194">
        <v>4409</v>
      </c>
      <c r="I323" s="201">
        <v>10610</v>
      </c>
      <c r="J323" s="194">
        <v>11034</v>
      </c>
      <c r="K323" s="201">
        <v>10610</v>
      </c>
      <c r="L323" s="194">
        <v>11034</v>
      </c>
      <c r="M323" s="201">
        <v>9936</v>
      </c>
      <c r="N323" s="194">
        <v>10333</v>
      </c>
      <c r="P323" t="s">
        <v>148</v>
      </c>
      <c r="Q323" s="108">
        <v>46082</v>
      </c>
      <c r="R323" s="6" t="s">
        <v>798</v>
      </c>
    </row>
    <row r="324" spans="1:18" x14ac:dyDescent="0.2">
      <c r="A324" s="98" t="s">
        <v>643</v>
      </c>
      <c r="E324" s="108">
        <v>48335</v>
      </c>
      <c r="F324" s="6" t="s">
        <v>1263</v>
      </c>
      <c r="G324" s="201">
        <v>4239</v>
      </c>
      <c r="H324" s="194">
        <v>4409</v>
      </c>
      <c r="I324" s="201">
        <v>10610</v>
      </c>
      <c r="J324" s="194">
        <v>11034</v>
      </c>
      <c r="K324" s="201">
        <v>10610</v>
      </c>
      <c r="L324" s="194">
        <v>11034</v>
      </c>
      <c r="M324" s="201">
        <v>9936</v>
      </c>
      <c r="N324" s="194">
        <v>10333</v>
      </c>
      <c r="P324" t="s">
        <v>149</v>
      </c>
      <c r="Q324" s="108">
        <v>46113</v>
      </c>
      <c r="R324" s="6" t="s">
        <v>662</v>
      </c>
    </row>
    <row r="325" spans="1:18" x14ac:dyDescent="0.2">
      <c r="A325" s="98" t="s">
        <v>824</v>
      </c>
      <c r="E325" s="108">
        <v>48366</v>
      </c>
      <c r="F325" s="6" t="s">
        <v>1263</v>
      </c>
      <c r="G325" s="201">
        <v>4239</v>
      </c>
      <c r="H325" s="194">
        <v>4409</v>
      </c>
      <c r="I325" s="201">
        <v>10610</v>
      </c>
      <c r="J325" s="194">
        <v>11034</v>
      </c>
      <c r="K325" s="201">
        <v>10610</v>
      </c>
      <c r="L325" s="194">
        <v>11034</v>
      </c>
      <c r="M325" s="201">
        <v>9936</v>
      </c>
      <c r="N325" s="194">
        <v>10333</v>
      </c>
      <c r="P325" t="s">
        <v>13</v>
      </c>
      <c r="Q325" s="108">
        <v>46113</v>
      </c>
      <c r="R325" s="6" t="s">
        <v>662</v>
      </c>
    </row>
    <row r="326" spans="1:18" x14ac:dyDescent="0.2">
      <c r="A326" s="98" t="s">
        <v>710</v>
      </c>
      <c r="P326" t="s">
        <v>12</v>
      </c>
      <c r="Q326" s="108">
        <v>46113</v>
      </c>
      <c r="R326" s="6" t="s">
        <v>662</v>
      </c>
    </row>
    <row r="327" spans="1:18" x14ac:dyDescent="0.2">
      <c r="A327" s="98" t="s">
        <v>286</v>
      </c>
      <c r="P327" t="s">
        <v>14</v>
      </c>
      <c r="Q327" s="108">
        <v>46113</v>
      </c>
      <c r="R327" s="6" t="s">
        <v>798</v>
      </c>
    </row>
    <row r="328" spans="1:18" x14ac:dyDescent="0.2">
      <c r="A328" s="98" t="s">
        <v>1278</v>
      </c>
      <c r="P328" t="s">
        <v>150</v>
      </c>
      <c r="Q328" s="108">
        <v>46113</v>
      </c>
      <c r="R328" s="6" t="s">
        <v>798</v>
      </c>
    </row>
    <row r="329" spans="1:18" x14ac:dyDescent="0.2">
      <c r="A329" s="98" t="s">
        <v>287</v>
      </c>
      <c r="P329" t="s">
        <v>151</v>
      </c>
      <c r="Q329" s="108">
        <v>46143</v>
      </c>
      <c r="R329" s="6" t="s">
        <v>662</v>
      </c>
    </row>
    <row r="330" spans="1:18" x14ac:dyDescent="0.2">
      <c r="A330" s="98" t="s">
        <v>711</v>
      </c>
      <c r="G330" s="6" t="s">
        <v>1185</v>
      </c>
      <c r="H330" s="6" t="s">
        <v>543</v>
      </c>
      <c r="I330" s="6" t="s">
        <v>1184</v>
      </c>
      <c r="P330" t="s">
        <v>13</v>
      </c>
      <c r="Q330" s="108">
        <v>46143</v>
      </c>
      <c r="R330" s="6" t="s">
        <v>662</v>
      </c>
    </row>
    <row r="331" spans="1:18" x14ac:dyDescent="0.2">
      <c r="A331" s="126" t="s">
        <v>1235</v>
      </c>
      <c r="E331" s="108">
        <v>45474</v>
      </c>
      <c r="F331">
        <v>2025</v>
      </c>
      <c r="G331" s="111">
        <v>0.35499999999999998</v>
      </c>
      <c r="H331" s="111">
        <v>0.14699999999999999</v>
      </c>
      <c r="I331" s="111">
        <v>0.14699999999999999</v>
      </c>
      <c r="P331" t="s">
        <v>12</v>
      </c>
      <c r="Q331" s="108">
        <v>46143</v>
      </c>
      <c r="R331" s="6" t="s">
        <v>662</v>
      </c>
    </row>
    <row r="332" spans="1:18" x14ac:dyDescent="0.2">
      <c r="A332" s="98" t="s">
        <v>288</v>
      </c>
      <c r="E332" s="108">
        <v>45505</v>
      </c>
      <c r="F332">
        <v>2025</v>
      </c>
      <c r="G332" s="111">
        <v>0.35499999999999998</v>
      </c>
      <c r="H332" s="111">
        <v>0.14699999999999999</v>
      </c>
      <c r="I332" s="111">
        <v>0.14699999999999999</v>
      </c>
      <c r="P332" s="6" t="s">
        <v>14</v>
      </c>
      <c r="Q332" s="108">
        <v>46143</v>
      </c>
      <c r="R332" s="6" t="s">
        <v>798</v>
      </c>
    </row>
    <row r="333" spans="1:18" x14ac:dyDescent="0.2">
      <c r="A333" s="98" t="s">
        <v>289</v>
      </c>
      <c r="E333" s="108">
        <v>45536</v>
      </c>
      <c r="F333">
        <v>2025</v>
      </c>
      <c r="G333" s="111">
        <v>0.35499999999999998</v>
      </c>
      <c r="H333" s="111">
        <v>0.14699999999999999</v>
      </c>
      <c r="I333" s="111">
        <v>0.14699999999999999</v>
      </c>
      <c r="P333" t="s">
        <v>152</v>
      </c>
      <c r="Q333" s="108">
        <v>46143</v>
      </c>
      <c r="R333" s="6" t="s">
        <v>798</v>
      </c>
    </row>
    <row r="334" spans="1:18" x14ac:dyDescent="0.2">
      <c r="A334" s="98" t="s">
        <v>465</v>
      </c>
      <c r="E334" s="108">
        <v>45566</v>
      </c>
      <c r="F334">
        <v>2025</v>
      </c>
      <c r="G334" s="111">
        <v>0.35499999999999998</v>
      </c>
      <c r="H334" s="111">
        <v>0.14699999999999999</v>
      </c>
      <c r="I334" s="111">
        <v>0.14699999999999999</v>
      </c>
      <c r="P334" t="s">
        <v>13</v>
      </c>
      <c r="Q334" s="108">
        <v>46174</v>
      </c>
      <c r="R334" s="6" t="s">
        <v>662</v>
      </c>
    </row>
    <row r="335" spans="1:18" x14ac:dyDescent="0.2">
      <c r="A335" s="126" t="s">
        <v>845</v>
      </c>
      <c r="E335" s="108">
        <v>45597</v>
      </c>
      <c r="F335">
        <v>2025</v>
      </c>
      <c r="G335" s="111">
        <v>0.35499999999999998</v>
      </c>
      <c r="H335" s="111">
        <v>0.14699999999999999</v>
      </c>
      <c r="I335" s="111">
        <v>0.14699999999999999</v>
      </c>
      <c r="P335" t="s">
        <v>12</v>
      </c>
      <c r="Q335" s="108">
        <v>46174</v>
      </c>
      <c r="R335" s="6" t="s">
        <v>662</v>
      </c>
    </row>
    <row r="336" spans="1:18" x14ac:dyDescent="0.2">
      <c r="A336" s="126" t="s">
        <v>898</v>
      </c>
      <c r="E336" s="108">
        <v>45627</v>
      </c>
      <c r="F336">
        <v>2025</v>
      </c>
      <c r="G336" s="111">
        <v>0.35499999999999998</v>
      </c>
      <c r="H336" s="111">
        <v>0.14699999999999999</v>
      </c>
      <c r="I336" s="111">
        <v>0.14699999999999999</v>
      </c>
      <c r="P336" t="s">
        <v>14</v>
      </c>
      <c r="Q336" s="108">
        <v>46174</v>
      </c>
      <c r="R336" s="6" t="s">
        <v>798</v>
      </c>
    </row>
    <row r="337" spans="1:18" x14ac:dyDescent="0.2">
      <c r="A337" s="98" t="s">
        <v>712</v>
      </c>
      <c r="E337" s="108">
        <v>45658</v>
      </c>
      <c r="F337">
        <v>2025</v>
      </c>
      <c r="G337" s="111">
        <v>0.35499999999999998</v>
      </c>
      <c r="H337" s="111">
        <v>0.14699999999999999</v>
      </c>
      <c r="I337" s="111">
        <v>0.14699999999999999</v>
      </c>
      <c r="P337" t="s">
        <v>137</v>
      </c>
      <c r="Q337" s="108">
        <v>46174</v>
      </c>
      <c r="R337" s="6" t="s">
        <v>798</v>
      </c>
    </row>
    <row r="338" spans="1:18" x14ac:dyDescent="0.2">
      <c r="A338" s="98" t="s">
        <v>436</v>
      </c>
      <c r="E338" s="108">
        <v>45689</v>
      </c>
      <c r="F338">
        <v>2025</v>
      </c>
      <c r="G338" s="111">
        <v>0.35499999999999998</v>
      </c>
      <c r="H338" s="111">
        <v>0.14699999999999999</v>
      </c>
      <c r="I338" s="111">
        <v>0.14699999999999999</v>
      </c>
      <c r="P338" t="s">
        <v>131</v>
      </c>
      <c r="Q338" s="108">
        <v>46174</v>
      </c>
      <c r="R338" s="6" t="s">
        <v>798</v>
      </c>
    </row>
    <row r="339" spans="1:18" x14ac:dyDescent="0.2">
      <c r="A339" s="98" t="s">
        <v>290</v>
      </c>
      <c r="E339" s="108">
        <v>45717</v>
      </c>
      <c r="F339">
        <v>2025</v>
      </c>
      <c r="G339" s="111">
        <v>0.35499999999999998</v>
      </c>
      <c r="H339" s="111">
        <v>0.14699999999999999</v>
      </c>
      <c r="I339" s="111">
        <v>0.14699999999999999</v>
      </c>
      <c r="P339" s="108" t="s">
        <v>138</v>
      </c>
      <c r="Q339" s="108">
        <v>46204</v>
      </c>
      <c r="R339" s="6" t="s">
        <v>662</v>
      </c>
    </row>
    <row r="340" spans="1:18" x14ac:dyDescent="0.2">
      <c r="A340" s="126" t="s">
        <v>764</v>
      </c>
      <c r="E340" s="108">
        <v>45748</v>
      </c>
      <c r="F340">
        <v>2025</v>
      </c>
      <c r="G340" s="111">
        <v>0.35499999999999998</v>
      </c>
      <c r="H340" s="111">
        <v>0.14699999999999999</v>
      </c>
      <c r="I340" s="111">
        <v>0.14699999999999999</v>
      </c>
      <c r="P340" s="108" t="s">
        <v>12</v>
      </c>
      <c r="Q340" s="108">
        <v>46204</v>
      </c>
      <c r="R340" s="6" t="s">
        <v>662</v>
      </c>
    </row>
    <row r="341" spans="1:18" x14ac:dyDescent="0.2">
      <c r="A341" s="98" t="s">
        <v>713</v>
      </c>
      <c r="E341" s="108">
        <v>45778</v>
      </c>
      <c r="F341">
        <v>2025</v>
      </c>
      <c r="G341" s="111">
        <v>0.35499999999999998</v>
      </c>
      <c r="H341" s="111">
        <v>0.14699999999999999</v>
      </c>
      <c r="I341" s="111">
        <v>0.14699999999999999</v>
      </c>
      <c r="P341" s="108" t="s">
        <v>14</v>
      </c>
      <c r="Q341" s="108">
        <v>46204</v>
      </c>
      <c r="R341" s="6" t="s">
        <v>798</v>
      </c>
    </row>
    <row r="342" spans="1:18" x14ac:dyDescent="0.2">
      <c r="A342" s="126" t="s">
        <v>899</v>
      </c>
      <c r="E342" s="108">
        <v>45809</v>
      </c>
      <c r="F342">
        <v>2025</v>
      </c>
      <c r="G342" s="111">
        <v>0.35499999999999998</v>
      </c>
      <c r="H342" s="111">
        <v>0.14699999999999999</v>
      </c>
      <c r="I342" s="111">
        <v>0.14699999999999999</v>
      </c>
      <c r="P342" s="108" t="s">
        <v>137</v>
      </c>
      <c r="Q342" s="108">
        <v>46204</v>
      </c>
      <c r="R342" s="6" t="s">
        <v>798</v>
      </c>
    </row>
    <row r="343" spans="1:18" x14ac:dyDescent="0.2">
      <c r="A343" s="126" t="s">
        <v>1331</v>
      </c>
      <c r="E343" s="108">
        <v>45839</v>
      </c>
      <c r="F343">
        <v>2026</v>
      </c>
      <c r="G343" s="111">
        <v>0.36799999999999999</v>
      </c>
      <c r="H343" s="111">
        <v>0.153</v>
      </c>
      <c r="I343" s="111">
        <v>0.153</v>
      </c>
      <c r="P343" s="108" t="s">
        <v>204</v>
      </c>
      <c r="Q343" s="108">
        <v>46204</v>
      </c>
      <c r="R343" s="6" t="s">
        <v>798</v>
      </c>
    </row>
    <row r="344" spans="1:18" x14ac:dyDescent="0.2">
      <c r="A344" s="126" t="s">
        <v>539</v>
      </c>
      <c r="E344" s="108">
        <v>45870</v>
      </c>
      <c r="F344">
        <v>2026</v>
      </c>
      <c r="G344" s="111">
        <v>0.36799999999999999</v>
      </c>
      <c r="H344" s="111">
        <v>0.153</v>
      </c>
      <c r="I344" s="111">
        <v>0.153</v>
      </c>
      <c r="P344" s="108" t="s">
        <v>139</v>
      </c>
      <c r="Q344" s="108">
        <v>46235</v>
      </c>
      <c r="R344" s="6" t="s">
        <v>662</v>
      </c>
    </row>
    <row r="345" spans="1:18" x14ac:dyDescent="0.2">
      <c r="A345" s="126" t="s">
        <v>714</v>
      </c>
      <c r="E345" s="108">
        <v>45901</v>
      </c>
      <c r="F345">
        <v>2026</v>
      </c>
      <c r="G345" s="111">
        <v>0.36799999999999999</v>
      </c>
      <c r="H345" s="111">
        <v>0.153</v>
      </c>
      <c r="I345" s="111">
        <v>0.153</v>
      </c>
      <c r="P345" s="108" t="s">
        <v>12</v>
      </c>
      <c r="Q345" s="108">
        <v>46235</v>
      </c>
      <c r="R345" s="6" t="s">
        <v>662</v>
      </c>
    </row>
    <row r="346" spans="1:18" x14ac:dyDescent="0.2">
      <c r="A346" s="126" t="s">
        <v>745</v>
      </c>
      <c r="E346" s="108">
        <v>45931</v>
      </c>
      <c r="F346">
        <v>2026</v>
      </c>
      <c r="G346" s="111">
        <v>0.36799999999999999</v>
      </c>
      <c r="H346" s="111">
        <v>0.153</v>
      </c>
      <c r="I346" s="111">
        <v>0.153</v>
      </c>
      <c r="P346" s="108" t="s">
        <v>14</v>
      </c>
      <c r="Q346" s="108">
        <v>46235</v>
      </c>
      <c r="R346" s="6" t="s">
        <v>798</v>
      </c>
    </row>
    <row r="347" spans="1:18" x14ac:dyDescent="0.2">
      <c r="A347" s="126" t="s">
        <v>900</v>
      </c>
      <c r="E347" s="108">
        <v>45962</v>
      </c>
      <c r="F347">
        <v>2026</v>
      </c>
      <c r="G347" s="111">
        <v>0.36799999999999999</v>
      </c>
      <c r="H347" s="111">
        <v>0.153</v>
      </c>
      <c r="I347" s="111">
        <v>0.153</v>
      </c>
      <c r="P347" s="108" t="s">
        <v>137</v>
      </c>
      <c r="Q347" s="108">
        <v>46235</v>
      </c>
      <c r="R347" s="6" t="s">
        <v>798</v>
      </c>
    </row>
    <row r="348" spans="1:18" x14ac:dyDescent="0.2">
      <c r="A348" s="126" t="s">
        <v>825</v>
      </c>
      <c r="E348" s="108">
        <v>45992</v>
      </c>
      <c r="F348">
        <v>2026</v>
      </c>
      <c r="G348" s="111">
        <v>0.36799999999999999</v>
      </c>
      <c r="H348" s="111">
        <v>0.153</v>
      </c>
      <c r="I348" s="111">
        <v>0.153</v>
      </c>
      <c r="P348" s="108" t="s">
        <v>140</v>
      </c>
      <c r="Q348" s="108">
        <v>46235</v>
      </c>
      <c r="R348" s="6" t="s">
        <v>798</v>
      </c>
    </row>
    <row r="349" spans="1:18" x14ac:dyDescent="0.2">
      <c r="A349" s="126" t="s">
        <v>715</v>
      </c>
      <c r="E349" s="108">
        <v>46023</v>
      </c>
      <c r="F349">
        <v>2026</v>
      </c>
      <c r="G349" s="111">
        <v>0.36799999999999999</v>
      </c>
      <c r="H349" s="111">
        <v>0.153</v>
      </c>
      <c r="I349" s="111">
        <v>0.153</v>
      </c>
      <c r="P349" s="108" t="s">
        <v>12</v>
      </c>
      <c r="Q349" s="108">
        <v>46266</v>
      </c>
      <c r="R349" s="6" t="s">
        <v>662</v>
      </c>
    </row>
    <row r="350" spans="1:18" x14ac:dyDescent="0.2">
      <c r="A350" s="126" t="s">
        <v>1236</v>
      </c>
      <c r="E350" s="108">
        <v>46054</v>
      </c>
      <c r="F350">
        <v>2026</v>
      </c>
      <c r="G350" s="111">
        <v>0.36799999999999999</v>
      </c>
      <c r="H350" s="111">
        <v>0.153</v>
      </c>
      <c r="I350" s="111">
        <v>0.153</v>
      </c>
      <c r="P350" s="108" t="s">
        <v>14</v>
      </c>
      <c r="Q350" s="108">
        <v>46266</v>
      </c>
      <c r="R350" s="6" t="s">
        <v>798</v>
      </c>
    </row>
    <row r="351" spans="1:18" x14ac:dyDescent="0.2">
      <c r="A351" s="126" t="s">
        <v>901</v>
      </c>
      <c r="E351" s="108">
        <v>46082</v>
      </c>
      <c r="F351">
        <v>2026</v>
      </c>
      <c r="G351" s="111">
        <v>0.36799999999999999</v>
      </c>
      <c r="H351" s="111">
        <v>0.153</v>
      </c>
      <c r="I351" s="111">
        <v>0.153</v>
      </c>
      <c r="P351" s="108" t="s">
        <v>137</v>
      </c>
      <c r="Q351" s="108">
        <v>46266</v>
      </c>
      <c r="R351" s="6" t="s">
        <v>798</v>
      </c>
    </row>
    <row r="352" spans="1:18" x14ac:dyDescent="0.2">
      <c r="A352" s="98" t="s">
        <v>509</v>
      </c>
      <c r="E352" s="108">
        <v>46113</v>
      </c>
      <c r="F352">
        <v>2026</v>
      </c>
      <c r="G352" s="111">
        <v>0.36799999999999999</v>
      </c>
      <c r="H352" s="111">
        <v>0.153</v>
      </c>
      <c r="I352" s="111">
        <v>0.153</v>
      </c>
      <c r="P352" s="108" t="s">
        <v>13</v>
      </c>
      <c r="Q352" s="108">
        <v>46266</v>
      </c>
      <c r="R352" s="6" t="s">
        <v>798</v>
      </c>
    </row>
    <row r="353" spans="1:18" x14ac:dyDescent="0.2">
      <c r="A353" s="98" t="s">
        <v>563</v>
      </c>
      <c r="E353" s="108">
        <v>46143</v>
      </c>
      <c r="F353">
        <v>2026</v>
      </c>
      <c r="G353" s="111">
        <v>0.36799999999999999</v>
      </c>
      <c r="H353" s="111">
        <v>0.153</v>
      </c>
      <c r="I353" s="111">
        <v>0.153</v>
      </c>
      <c r="P353" s="108" t="s">
        <v>131</v>
      </c>
      <c r="Q353" s="108">
        <v>46266</v>
      </c>
      <c r="R353" s="6" t="s">
        <v>798</v>
      </c>
    </row>
    <row r="354" spans="1:18" x14ac:dyDescent="0.2">
      <c r="A354" s="126" t="s">
        <v>1332</v>
      </c>
      <c r="E354" s="108">
        <v>46174</v>
      </c>
      <c r="F354">
        <v>2026</v>
      </c>
      <c r="G354" s="111">
        <v>0.36799999999999999</v>
      </c>
      <c r="H354" s="111">
        <v>0.153</v>
      </c>
      <c r="I354" s="111">
        <v>0.153</v>
      </c>
      <c r="P354" s="127" t="s">
        <v>14</v>
      </c>
      <c r="Q354" s="108">
        <v>46296</v>
      </c>
      <c r="R354" s="6" t="s">
        <v>798</v>
      </c>
    </row>
    <row r="355" spans="1:18" x14ac:dyDescent="0.2">
      <c r="A355" s="98" t="s">
        <v>716</v>
      </c>
      <c r="E355" s="108">
        <v>46204</v>
      </c>
      <c r="F355">
        <v>2027</v>
      </c>
      <c r="G355" s="111">
        <v>0.36799999999999999</v>
      </c>
      <c r="H355" s="111">
        <v>0.153</v>
      </c>
      <c r="I355" s="111">
        <v>0.153</v>
      </c>
      <c r="P355" s="108" t="s">
        <v>137</v>
      </c>
      <c r="Q355" s="108">
        <v>46296</v>
      </c>
      <c r="R355" s="6" t="s">
        <v>798</v>
      </c>
    </row>
    <row r="356" spans="1:18" x14ac:dyDescent="0.2">
      <c r="A356" s="98" t="s">
        <v>717</v>
      </c>
      <c r="E356" s="108">
        <v>46235</v>
      </c>
      <c r="F356">
        <v>2027</v>
      </c>
      <c r="G356" s="111">
        <v>0.36799999999999999</v>
      </c>
      <c r="H356" s="111">
        <v>0.153</v>
      </c>
      <c r="I356" s="111">
        <v>0.153</v>
      </c>
      <c r="P356" s="108" t="s">
        <v>13</v>
      </c>
      <c r="Q356" s="108">
        <v>46296</v>
      </c>
      <c r="R356" s="6" t="s">
        <v>798</v>
      </c>
    </row>
    <row r="357" spans="1:18" x14ac:dyDescent="0.2">
      <c r="A357" s="98" t="s">
        <v>644</v>
      </c>
      <c r="E357" s="108">
        <v>46266</v>
      </c>
      <c r="F357">
        <v>2027</v>
      </c>
      <c r="G357" s="111">
        <v>0.36799999999999999</v>
      </c>
      <c r="H357" s="111">
        <v>0.153</v>
      </c>
      <c r="I357" s="111">
        <v>0.153</v>
      </c>
      <c r="P357" s="108" t="s">
        <v>12</v>
      </c>
      <c r="Q357" s="108">
        <v>46296</v>
      </c>
      <c r="R357" s="6" t="s">
        <v>798</v>
      </c>
    </row>
    <row r="358" spans="1:18" x14ac:dyDescent="0.2">
      <c r="A358" s="126" t="s">
        <v>846</v>
      </c>
      <c r="E358" s="108">
        <v>46296</v>
      </c>
      <c r="F358">
        <v>2027</v>
      </c>
      <c r="G358" s="111">
        <v>0.36799999999999999</v>
      </c>
      <c r="H358" s="111">
        <v>0.153</v>
      </c>
      <c r="I358" s="111">
        <v>0.153</v>
      </c>
      <c r="P358" s="108" t="s">
        <v>131</v>
      </c>
      <c r="Q358" s="108">
        <v>46296</v>
      </c>
      <c r="R358" s="6" t="s">
        <v>798</v>
      </c>
    </row>
    <row r="359" spans="1:18" x14ac:dyDescent="0.2">
      <c r="A359" s="126" t="s">
        <v>863</v>
      </c>
      <c r="E359" s="108">
        <v>46327</v>
      </c>
      <c r="F359">
        <v>2027</v>
      </c>
      <c r="G359" s="111">
        <v>0.36799999999999999</v>
      </c>
      <c r="H359" s="111">
        <v>0.153</v>
      </c>
      <c r="I359" s="111">
        <v>0.153</v>
      </c>
      <c r="P359" s="108" t="s">
        <v>141</v>
      </c>
      <c r="Q359" s="108">
        <v>46327</v>
      </c>
      <c r="R359" s="6" t="s">
        <v>798</v>
      </c>
    </row>
    <row r="360" spans="1:18" x14ac:dyDescent="0.2">
      <c r="A360" s="98" t="s">
        <v>466</v>
      </c>
      <c r="E360" s="108">
        <v>46357</v>
      </c>
      <c r="F360">
        <v>2027</v>
      </c>
      <c r="G360" s="111">
        <v>0.36799999999999999</v>
      </c>
      <c r="H360" s="111">
        <v>0.153</v>
      </c>
      <c r="I360" s="111">
        <v>0.153</v>
      </c>
      <c r="P360" s="108" t="s">
        <v>137</v>
      </c>
      <c r="Q360" s="108">
        <v>46327</v>
      </c>
      <c r="R360" s="6" t="s">
        <v>798</v>
      </c>
    </row>
    <row r="361" spans="1:18" x14ac:dyDescent="0.2">
      <c r="A361" s="98" t="s">
        <v>693</v>
      </c>
      <c r="E361" s="108">
        <v>46388</v>
      </c>
      <c r="F361">
        <v>2027</v>
      </c>
      <c r="G361" s="111">
        <v>0.36799999999999999</v>
      </c>
      <c r="H361" s="111">
        <v>0.153</v>
      </c>
      <c r="I361" s="111">
        <v>0.153</v>
      </c>
      <c r="P361" s="108" t="s">
        <v>13</v>
      </c>
      <c r="Q361" s="108">
        <v>46327</v>
      </c>
      <c r="R361" s="6" t="s">
        <v>798</v>
      </c>
    </row>
    <row r="362" spans="1:18" x14ac:dyDescent="0.2">
      <c r="A362" s="98" t="s">
        <v>718</v>
      </c>
      <c r="E362" s="108">
        <v>46419</v>
      </c>
      <c r="F362">
        <v>2027</v>
      </c>
      <c r="G362" s="111">
        <v>0.36799999999999999</v>
      </c>
      <c r="H362" s="111">
        <v>0.153</v>
      </c>
      <c r="I362" s="111">
        <v>0.153</v>
      </c>
      <c r="P362" s="108" t="s">
        <v>12</v>
      </c>
      <c r="Q362" s="108">
        <v>46327</v>
      </c>
      <c r="R362" s="6" t="s">
        <v>798</v>
      </c>
    </row>
    <row r="363" spans="1:18" x14ac:dyDescent="0.2">
      <c r="A363" s="98" t="s">
        <v>665</v>
      </c>
      <c r="E363" s="108">
        <v>46447</v>
      </c>
      <c r="F363">
        <v>2027</v>
      </c>
      <c r="G363" s="111">
        <v>0.36799999999999999</v>
      </c>
      <c r="H363" s="111">
        <v>0.153</v>
      </c>
      <c r="I363" s="111">
        <v>0.153</v>
      </c>
      <c r="P363" s="108" t="s">
        <v>142</v>
      </c>
      <c r="Q363" s="108">
        <v>46327</v>
      </c>
      <c r="R363" s="6" t="s">
        <v>801</v>
      </c>
    </row>
    <row r="364" spans="1:18" x14ac:dyDescent="0.2">
      <c r="A364" s="98" t="s">
        <v>291</v>
      </c>
      <c r="E364" s="108">
        <v>46478</v>
      </c>
      <c r="F364">
        <v>2027</v>
      </c>
      <c r="G364" s="111">
        <v>0.36799999999999999</v>
      </c>
      <c r="H364" s="111">
        <v>0.153</v>
      </c>
      <c r="I364" s="111">
        <v>0.153</v>
      </c>
      <c r="P364" s="108" t="s">
        <v>147</v>
      </c>
      <c r="Q364" s="108">
        <v>46357</v>
      </c>
      <c r="R364" s="6" t="s">
        <v>798</v>
      </c>
    </row>
    <row r="365" spans="1:18" x14ac:dyDescent="0.2">
      <c r="A365" s="126" t="s">
        <v>902</v>
      </c>
      <c r="E365" s="108">
        <v>46508</v>
      </c>
      <c r="F365">
        <v>2027</v>
      </c>
      <c r="G365" s="111">
        <v>0.36799999999999999</v>
      </c>
      <c r="H365" s="111">
        <v>0.153</v>
      </c>
      <c r="I365" s="111">
        <v>0.153</v>
      </c>
      <c r="P365" s="108" t="s">
        <v>137</v>
      </c>
      <c r="Q365" s="108">
        <v>46357</v>
      </c>
      <c r="R365" s="6" t="s">
        <v>798</v>
      </c>
    </row>
    <row r="366" spans="1:18" x14ac:dyDescent="0.2">
      <c r="A366" s="126" t="s">
        <v>1031</v>
      </c>
      <c r="E366" s="108">
        <v>46539</v>
      </c>
      <c r="F366">
        <v>2027</v>
      </c>
      <c r="G366" s="111">
        <v>0.36799999999999999</v>
      </c>
      <c r="H366" s="111">
        <v>0.153</v>
      </c>
      <c r="I366" s="111">
        <v>0.153</v>
      </c>
      <c r="P366" s="108" t="s">
        <v>13</v>
      </c>
      <c r="Q366" s="108">
        <v>46357</v>
      </c>
      <c r="R366" s="6" t="s">
        <v>798</v>
      </c>
    </row>
    <row r="367" spans="1:18" x14ac:dyDescent="0.2">
      <c r="A367" s="98" t="s">
        <v>292</v>
      </c>
      <c r="E367" s="108">
        <v>46569</v>
      </c>
      <c r="F367">
        <v>2028</v>
      </c>
      <c r="G367" s="111">
        <v>0.36799999999999999</v>
      </c>
      <c r="H367" s="111">
        <v>0.153</v>
      </c>
      <c r="I367" s="111">
        <v>0.153</v>
      </c>
      <c r="P367" s="108" t="s">
        <v>12</v>
      </c>
      <c r="Q367" s="108">
        <v>46357</v>
      </c>
      <c r="R367" s="6" t="s">
        <v>798</v>
      </c>
    </row>
    <row r="368" spans="1:18" x14ac:dyDescent="0.2">
      <c r="A368" s="98" t="s">
        <v>293</v>
      </c>
      <c r="E368" s="108">
        <v>46600</v>
      </c>
      <c r="F368">
        <v>2028</v>
      </c>
      <c r="G368" s="111">
        <v>0.36799999999999999</v>
      </c>
      <c r="H368" s="111">
        <v>0.153</v>
      </c>
      <c r="I368" s="111">
        <v>0.153</v>
      </c>
      <c r="P368" s="108" t="s">
        <v>143</v>
      </c>
      <c r="Q368" s="108">
        <v>46357</v>
      </c>
      <c r="R368" s="6" t="s">
        <v>801</v>
      </c>
    </row>
    <row r="369" spans="1:18" x14ac:dyDescent="0.2">
      <c r="A369" s="126" t="s">
        <v>903</v>
      </c>
      <c r="E369" s="108">
        <v>46631</v>
      </c>
      <c r="F369">
        <v>2028</v>
      </c>
      <c r="G369" s="111">
        <v>0.36799999999999999</v>
      </c>
      <c r="H369" s="111">
        <v>0.153</v>
      </c>
      <c r="I369" s="111">
        <v>0.153</v>
      </c>
      <c r="P369" s="108" t="s">
        <v>137</v>
      </c>
      <c r="Q369" s="108">
        <f t="shared" ref="Q369:Q375" si="44">DATE(YEAR(Q309)+1,MONTH(Q309),DAY(Q309))</f>
        <v>46388</v>
      </c>
      <c r="R369" s="6" t="s">
        <v>798</v>
      </c>
    </row>
    <row r="370" spans="1:18" x14ac:dyDescent="0.2">
      <c r="A370" s="126" t="s">
        <v>864</v>
      </c>
      <c r="E370" s="108">
        <v>46661</v>
      </c>
      <c r="F370">
        <v>2028</v>
      </c>
      <c r="G370" s="111">
        <v>0.36799999999999999</v>
      </c>
      <c r="H370" s="111">
        <v>0.153</v>
      </c>
      <c r="I370" s="111">
        <v>0.153</v>
      </c>
      <c r="P370" s="108" t="s">
        <v>13</v>
      </c>
      <c r="Q370" s="108">
        <f t="shared" si="44"/>
        <v>46388</v>
      </c>
      <c r="R370" s="6" t="s">
        <v>798</v>
      </c>
    </row>
    <row r="371" spans="1:18" x14ac:dyDescent="0.2">
      <c r="A371" s="126" t="s">
        <v>1279</v>
      </c>
      <c r="E371" s="108">
        <v>46692</v>
      </c>
      <c r="F371">
        <v>2028</v>
      </c>
      <c r="G371" s="111">
        <v>0.36799999999999999</v>
      </c>
      <c r="H371" s="111">
        <v>0.153</v>
      </c>
      <c r="I371" s="111">
        <v>0.153</v>
      </c>
      <c r="P371" s="108" t="s">
        <v>12</v>
      </c>
      <c r="Q371" s="108">
        <f t="shared" si="44"/>
        <v>46388</v>
      </c>
      <c r="R371" s="6" t="s">
        <v>798</v>
      </c>
    </row>
    <row r="372" spans="1:18" x14ac:dyDescent="0.2">
      <c r="A372" s="126" t="s">
        <v>1333</v>
      </c>
      <c r="E372" s="108">
        <v>46722</v>
      </c>
      <c r="F372">
        <v>2028</v>
      </c>
      <c r="G372" s="111">
        <v>0.36799999999999999</v>
      </c>
      <c r="H372" s="111">
        <v>0.153</v>
      </c>
      <c r="I372" s="111">
        <v>0.153</v>
      </c>
      <c r="P372" s="108" t="s">
        <v>14</v>
      </c>
      <c r="Q372" s="108">
        <f t="shared" si="44"/>
        <v>46388</v>
      </c>
      <c r="R372" s="6" t="s">
        <v>801</v>
      </c>
    </row>
    <row r="373" spans="1:18" x14ac:dyDescent="0.2">
      <c r="A373" s="126" t="s">
        <v>1032</v>
      </c>
      <c r="E373" s="108">
        <v>46753</v>
      </c>
      <c r="F373">
        <v>2028</v>
      </c>
      <c r="G373" s="111">
        <v>0.36799999999999999</v>
      </c>
      <c r="H373" s="111">
        <v>0.153</v>
      </c>
      <c r="I373" s="111">
        <v>0.153</v>
      </c>
      <c r="P373" s="108" t="s">
        <v>131</v>
      </c>
      <c r="Q373" s="108">
        <f t="shared" si="44"/>
        <v>46388</v>
      </c>
      <c r="R373" s="6" t="s">
        <v>801</v>
      </c>
    </row>
    <row r="374" spans="1:18" x14ac:dyDescent="0.2">
      <c r="A374" s="126" t="s">
        <v>1033</v>
      </c>
      <c r="E374" s="108">
        <v>46784</v>
      </c>
      <c r="F374">
        <v>2028</v>
      </c>
      <c r="G374" s="111">
        <v>0.36799999999999999</v>
      </c>
      <c r="H374" s="111">
        <v>0.153</v>
      </c>
      <c r="I374" s="111">
        <v>0.153</v>
      </c>
      <c r="P374" s="108" t="s">
        <v>144</v>
      </c>
      <c r="Q374" s="108">
        <f t="shared" si="44"/>
        <v>46419</v>
      </c>
      <c r="R374" s="6" t="s">
        <v>798</v>
      </c>
    </row>
    <row r="375" spans="1:18" x14ac:dyDescent="0.2">
      <c r="A375" s="98" t="s">
        <v>571</v>
      </c>
      <c r="E375" s="108">
        <v>46813</v>
      </c>
      <c r="F375">
        <v>2028</v>
      </c>
      <c r="G375" s="111">
        <v>0.36799999999999999</v>
      </c>
      <c r="H375" s="111">
        <v>0.153</v>
      </c>
      <c r="I375" s="111">
        <v>0.153</v>
      </c>
      <c r="P375" s="108" t="s">
        <v>13</v>
      </c>
      <c r="Q375" s="108">
        <f t="shared" si="44"/>
        <v>46419</v>
      </c>
      <c r="R375" s="6" t="s">
        <v>798</v>
      </c>
    </row>
    <row r="376" spans="1:18" x14ac:dyDescent="0.2">
      <c r="A376" s="98" t="s">
        <v>467</v>
      </c>
      <c r="E376" s="108">
        <v>46844</v>
      </c>
      <c r="F376">
        <v>2028</v>
      </c>
      <c r="G376" s="111">
        <v>0.36799999999999999</v>
      </c>
      <c r="H376" s="111">
        <v>0.153</v>
      </c>
      <c r="I376" s="111">
        <v>0.153</v>
      </c>
      <c r="P376" s="108" t="s">
        <v>12</v>
      </c>
      <c r="Q376" s="108">
        <f t="shared" ref="Q376:Q402" si="45">DATE(YEAR(Q316)+1,MONTH(Q316),DAY(Q316))</f>
        <v>46419</v>
      </c>
      <c r="R376" s="6" t="s">
        <v>798</v>
      </c>
    </row>
    <row r="377" spans="1:18" x14ac:dyDescent="0.2">
      <c r="A377" s="98" t="s">
        <v>294</v>
      </c>
      <c r="E377" s="108">
        <v>46874</v>
      </c>
      <c r="F377">
        <v>2028</v>
      </c>
      <c r="G377" s="111">
        <v>0.36799999999999999</v>
      </c>
      <c r="H377" s="111">
        <v>0.153</v>
      </c>
      <c r="I377" s="111">
        <v>0.153</v>
      </c>
      <c r="P377" s="108" t="s">
        <v>14</v>
      </c>
      <c r="Q377" s="108">
        <f t="shared" si="45"/>
        <v>46419</v>
      </c>
      <c r="R377" s="6" t="s">
        <v>801</v>
      </c>
    </row>
    <row r="378" spans="1:18" x14ac:dyDescent="0.2">
      <c r="A378" s="126" t="s">
        <v>904</v>
      </c>
      <c r="E378" s="108">
        <v>46905</v>
      </c>
      <c r="F378">
        <v>2028</v>
      </c>
      <c r="G378" s="111">
        <v>0.36799999999999999</v>
      </c>
      <c r="H378" s="111">
        <v>0.153</v>
      </c>
      <c r="I378" s="111">
        <v>0.153</v>
      </c>
      <c r="P378" s="108" t="s">
        <v>145</v>
      </c>
      <c r="Q378" s="108">
        <f t="shared" si="45"/>
        <v>46419</v>
      </c>
      <c r="R378" s="6" t="s">
        <v>801</v>
      </c>
    </row>
    <row r="379" spans="1:18" x14ac:dyDescent="0.2">
      <c r="A379" s="126" t="s">
        <v>765</v>
      </c>
      <c r="E379" s="108">
        <v>46935</v>
      </c>
      <c r="F379">
        <v>2029</v>
      </c>
      <c r="G379" s="111">
        <v>0.36799999999999999</v>
      </c>
      <c r="H379" s="111">
        <v>0.153</v>
      </c>
      <c r="I379" s="111">
        <v>0.153</v>
      </c>
      <c r="P379" s="108" t="s">
        <v>146</v>
      </c>
      <c r="Q379" s="108">
        <f t="shared" si="45"/>
        <v>46447</v>
      </c>
      <c r="R379" s="6" t="s">
        <v>798</v>
      </c>
    </row>
    <row r="380" spans="1:18" x14ac:dyDescent="0.2">
      <c r="A380" s="98" t="s">
        <v>295</v>
      </c>
      <c r="E380" s="108">
        <v>46966</v>
      </c>
      <c r="F380">
        <v>2029</v>
      </c>
      <c r="G380" s="111">
        <v>0.36799999999999999</v>
      </c>
      <c r="H380" s="111">
        <v>0.153</v>
      </c>
      <c r="I380" s="111">
        <v>0.153</v>
      </c>
      <c r="P380" s="108" t="s">
        <v>13</v>
      </c>
      <c r="Q380" s="108">
        <f t="shared" si="45"/>
        <v>46447</v>
      </c>
      <c r="R380" s="6" t="s">
        <v>798</v>
      </c>
    </row>
    <row r="381" spans="1:18" x14ac:dyDescent="0.2">
      <c r="A381" s="126" t="s">
        <v>905</v>
      </c>
      <c r="E381" s="108">
        <v>46997</v>
      </c>
      <c r="F381">
        <v>2029</v>
      </c>
      <c r="G381" s="111">
        <v>0.36799999999999999</v>
      </c>
      <c r="H381" s="111">
        <v>0.153</v>
      </c>
      <c r="I381" s="111">
        <v>0.153</v>
      </c>
      <c r="P381" s="108" t="s">
        <v>12</v>
      </c>
      <c r="Q381" s="108">
        <f t="shared" si="45"/>
        <v>46447</v>
      </c>
      <c r="R381" s="6" t="s">
        <v>798</v>
      </c>
    </row>
    <row r="382" spans="1:18" x14ac:dyDescent="0.2">
      <c r="A382" s="126" t="s">
        <v>811</v>
      </c>
      <c r="E382" s="108">
        <v>47027</v>
      </c>
      <c r="F382">
        <v>2029</v>
      </c>
      <c r="G382" s="111">
        <v>0.36799999999999999</v>
      </c>
      <c r="H382" s="111">
        <v>0.153</v>
      </c>
      <c r="I382" s="111">
        <v>0.153</v>
      </c>
      <c r="P382" t="s">
        <v>14</v>
      </c>
      <c r="Q382" s="108">
        <f t="shared" si="45"/>
        <v>46447</v>
      </c>
      <c r="R382" s="6" t="s">
        <v>801</v>
      </c>
    </row>
    <row r="383" spans="1:18" x14ac:dyDescent="0.2">
      <c r="A383" s="126" t="s">
        <v>766</v>
      </c>
      <c r="E383" s="108">
        <v>47058</v>
      </c>
      <c r="F383">
        <v>2029</v>
      </c>
      <c r="G383" s="111">
        <v>0.36799999999999999</v>
      </c>
      <c r="H383" s="111">
        <v>0.153</v>
      </c>
      <c r="I383" s="111">
        <v>0.153</v>
      </c>
      <c r="P383" t="s">
        <v>148</v>
      </c>
      <c r="Q383" s="108">
        <f t="shared" si="45"/>
        <v>46447</v>
      </c>
      <c r="R383" s="6" t="s">
        <v>801</v>
      </c>
    </row>
    <row r="384" spans="1:18" x14ac:dyDescent="0.2">
      <c r="A384" s="98" t="s">
        <v>597</v>
      </c>
      <c r="E384" s="108">
        <v>47088</v>
      </c>
      <c r="F384">
        <v>2029</v>
      </c>
      <c r="G384" s="111">
        <v>0.36799999999999999</v>
      </c>
      <c r="H384" s="111">
        <v>0.153</v>
      </c>
      <c r="I384" s="111">
        <v>0.153</v>
      </c>
      <c r="P384" t="s">
        <v>149</v>
      </c>
      <c r="Q384" s="108">
        <f t="shared" si="45"/>
        <v>46478</v>
      </c>
      <c r="R384" s="6" t="s">
        <v>798</v>
      </c>
    </row>
    <row r="385" spans="1:18" x14ac:dyDescent="0.2">
      <c r="A385" s="126" t="s">
        <v>906</v>
      </c>
      <c r="E385" s="108">
        <v>47119</v>
      </c>
      <c r="F385">
        <v>2029</v>
      </c>
      <c r="G385" s="111">
        <v>0.36799999999999999</v>
      </c>
      <c r="H385" s="111">
        <v>0.153</v>
      </c>
      <c r="I385" s="111">
        <v>0.153</v>
      </c>
      <c r="P385" t="s">
        <v>13</v>
      </c>
      <c r="Q385" s="108">
        <f t="shared" si="45"/>
        <v>46478</v>
      </c>
      <c r="R385" s="6" t="s">
        <v>798</v>
      </c>
    </row>
    <row r="386" spans="1:18" x14ac:dyDescent="0.2">
      <c r="A386" s="98" t="s">
        <v>666</v>
      </c>
      <c r="E386" s="108">
        <v>47150</v>
      </c>
      <c r="F386">
        <v>2029</v>
      </c>
      <c r="G386" s="111">
        <v>0.36799999999999999</v>
      </c>
      <c r="H386" s="111">
        <v>0.153</v>
      </c>
      <c r="I386" s="111">
        <v>0.153</v>
      </c>
      <c r="P386" t="s">
        <v>12</v>
      </c>
      <c r="Q386" s="108">
        <f t="shared" si="45"/>
        <v>46478</v>
      </c>
      <c r="R386" s="6" t="s">
        <v>798</v>
      </c>
    </row>
    <row r="387" spans="1:18" x14ac:dyDescent="0.2">
      <c r="A387" s="98" t="s">
        <v>530</v>
      </c>
      <c r="E387" s="108">
        <v>47178</v>
      </c>
      <c r="F387">
        <v>2029</v>
      </c>
      <c r="G387" s="111">
        <v>0.36799999999999999</v>
      </c>
      <c r="H387" s="111">
        <v>0.153</v>
      </c>
      <c r="I387" s="111">
        <v>0.153</v>
      </c>
      <c r="P387" t="s">
        <v>14</v>
      </c>
      <c r="Q387" s="108">
        <f t="shared" si="45"/>
        <v>46478</v>
      </c>
      <c r="R387" s="6" t="s">
        <v>801</v>
      </c>
    </row>
    <row r="388" spans="1:18" x14ac:dyDescent="0.2">
      <c r="A388" s="126" t="s">
        <v>1034</v>
      </c>
      <c r="E388" s="108">
        <v>47209</v>
      </c>
      <c r="F388">
        <v>2029</v>
      </c>
      <c r="G388" s="111">
        <v>0.36799999999999999</v>
      </c>
      <c r="H388" s="111">
        <v>0.153</v>
      </c>
      <c r="I388" s="111">
        <v>0.153</v>
      </c>
      <c r="P388" t="s">
        <v>150</v>
      </c>
      <c r="Q388" s="108">
        <f t="shared" si="45"/>
        <v>46478</v>
      </c>
      <c r="R388" s="6" t="s">
        <v>801</v>
      </c>
    </row>
    <row r="389" spans="1:18" x14ac:dyDescent="0.2">
      <c r="A389" s="126" t="s">
        <v>907</v>
      </c>
      <c r="E389" s="108">
        <v>47239</v>
      </c>
      <c r="F389">
        <v>2029</v>
      </c>
      <c r="G389" s="111">
        <v>0.36799999999999999</v>
      </c>
      <c r="H389" s="111">
        <v>0.153</v>
      </c>
      <c r="I389" s="111">
        <v>0.153</v>
      </c>
      <c r="P389" t="s">
        <v>151</v>
      </c>
      <c r="Q389" s="108">
        <f t="shared" si="45"/>
        <v>46508</v>
      </c>
      <c r="R389" s="6" t="s">
        <v>798</v>
      </c>
    </row>
    <row r="390" spans="1:18" x14ac:dyDescent="0.2">
      <c r="A390" s="98" t="s">
        <v>296</v>
      </c>
      <c r="E390" s="108">
        <v>47270</v>
      </c>
      <c r="F390">
        <v>2029</v>
      </c>
      <c r="G390" s="111">
        <v>0.36799999999999999</v>
      </c>
      <c r="H390" s="111">
        <v>0.153</v>
      </c>
      <c r="I390" s="111">
        <v>0.153</v>
      </c>
      <c r="P390" t="s">
        <v>13</v>
      </c>
      <c r="Q390" s="108">
        <f t="shared" si="45"/>
        <v>46508</v>
      </c>
      <c r="R390" s="6" t="s">
        <v>798</v>
      </c>
    </row>
    <row r="391" spans="1:18" x14ac:dyDescent="0.2">
      <c r="A391" s="98" t="s">
        <v>851</v>
      </c>
      <c r="E391" s="108">
        <v>47300</v>
      </c>
      <c r="F391">
        <v>2030</v>
      </c>
      <c r="G391" s="111">
        <v>0.36799999999999999</v>
      </c>
      <c r="H391" s="111">
        <v>0.153</v>
      </c>
      <c r="I391" s="111">
        <v>0.153</v>
      </c>
      <c r="P391" t="s">
        <v>12</v>
      </c>
      <c r="Q391" s="108">
        <f t="shared" si="45"/>
        <v>46508</v>
      </c>
      <c r="R391" s="6" t="s">
        <v>798</v>
      </c>
    </row>
    <row r="392" spans="1:18" x14ac:dyDescent="0.2">
      <c r="A392" s="126" t="s">
        <v>908</v>
      </c>
      <c r="E392" s="108">
        <v>47331</v>
      </c>
      <c r="F392">
        <v>2030</v>
      </c>
      <c r="G392" s="111">
        <v>0.36799999999999999</v>
      </c>
      <c r="H392" s="111">
        <v>0.153</v>
      </c>
      <c r="I392" s="111">
        <v>0.153</v>
      </c>
      <c r="P392" s="6" t="s">
        <v>14</v>
      </c>
      <c r="Q392" s="108">
        <f t="shared" si="45"/>
        <v>46508</v>
      </c>
      <c r="R392" s="6" t="s">
        <v>801</v>
      </c>
    </row>
    <row r="393" spans="1:18" x14ac:dyDescent="0.2">
      <c r="A393" s="98" t="s">
        <v>667</v>
      </c>
      <c r="E393" s="108">
        <v>47362</v>
      </c>
      <c r="F393">
        <v>2030</v>
      </c>
      <c r="G393" s="111">
        <v>0.36799999999999999</v>
      </c>
      <c r="H393" s="111">
        <v>0.153</v>
      </c>
      <c r="I393" s="111">
        <v>0.153</v>
      </c>
      <c r="P393" t="s">
        <v>152</v>
      </c>
      <c r="Q393" s="108">
        <f t="shared" si="45"/>
        <v>46508</v>
      </c>
      <c r="R393" s="6" t="s">
        <v>801</v>
      </c>
    </row>
    <row r="394" spans="1:18" x14ac:dyDescent="0.2">
      <c r="A394" s="126" t="s">
        <v>909</v>
      </c>
      <c r="E394" s="108">
        <v>47392</v>
      </c>
      <c r="F394">
        <v>2030</v>
      </c>
      <c r="G394" s="111">
        <v>0.36799999999999999</v>
      </c>
      <c r="H394" s="111">
        <v>0.153</v>
      </c>
      <c r="I394" s="111">
        <v>0.153</v>
      </c>
      <c r="P394" t="s">
        <v>13</v>
      </c>
      <c r="Q394" s="108">
        <f t="shared" si="45"/>
        <v>46539</v>
      </c>
      <c r="R394" s="6" t="s">
        <v>798</v>
      </c>
    </row>
    <row r="395" spans="1:18" x14ac:dyDescent="0.2">
      <c r="A395" s="126" t="s">
        <v>910</v>
      </c>
      <c r="E395" s="108">
        <v>47423</v>
      </c>
      <c r="F395">
        <v>2030</v>
      </c>
      <c r="G395" s="111">
        <v>0.36799999999999999</v>
      </c>
      <c r="H395" s="111">
        <v>0.153</v>
      </c>
      <c r="I395" s="111">
        <v>0.153</v>
      </c>
      <c r="P395" t="s">
        <v>12</v>
      </c>
      <c r="Q395" s="108">
        <f t="shared" si="45"/>
        <v>46539</v>
      </c>
      <c r="R395" s="6" t="s">
        <v>798</v>
      </c>
    </row>
    <row r="396" spans="1:18" x14ac:dyDescent="0.2">
      <c r="A396" s="126" t="s">
        <v>911</v>
      </c>
      <c r="E396" s="108">
        <v>47453</v>
      </c>
      <c r="F396">
        <v>2030</v>
      </c>
      <c r="G396" s="111">
        <v>0.36799999999999999</v>
      </c>
      <c r="H396" s="111">
        <v>0.153</v>
      </c>
      <c r="I396" s="111">
        <v>0.153</v>
      </c>
      <c r="P396" t="s">
        <v>14</v>
      </c>
      <c r="Q396" s="108">
        <f t="shared" si="45"/>
        <v>46539</v>
      </c>
      <c r="R396" s="6" t="s">
        <v>801</v>
      </c>
    </row>
    <row r="397" spans="1:18" x14ac:dyDescent="0.2">
      <c r="A397" s="126" t="s">
        <v>812</v>
      </c>
      <c r="E397" s="108">
        <v>47484</v>
      </c>
      <c r="F397">
        <v>2030</v>
      </c>
      <c r="G397" s="111">
        <v>0.36799999999999999</v>
      </c>
      <c r="H397" s="111">
        <v>0.153</v>
      </c>
      <c r="I397" s="111">
        <v>0.153</v>
      </c>
      <c r="P397" t="s">
        <v>137</v>
      </c>
      <c r="Q397" s="108">
        <f t="shared" si="45"/>
        <v>46539</v>
      </c>
      <c r="R397" s="6" t="s">
        <v>801</v>
      </c>
    </row>
    <row r="398" spans="1:18" x14ac:dyDescent="0.2">
      <c r="A398" s="98" t="s">
        <v>297</v>
      </c>
      <c r="E398" s="108">
        <v>47515</v>
      </c>
      <c r="F398">
        <v>2030</v>
      </c>
      <c r="G398" s="111">
        <v>0.36799999999999999</v>
      </c>
      <c r="H398" s="111">
        <v>0.153</v>
      </c>
      <c r="I398" s="111">
        <v>0.153</v>
      </c>
      <c r="P398" t="s">
        <v>131</v>
      </c>
      <c r="Q398" s="108">
        <f t="shared" si="45"/>
        <v>46539</v>
      </c>
      <c r="R398" s="6" t="s">
        <v>801</v>
      </c>
    </row>
    <row r="399" spans="1:18" x14ac:dyDescent="0.2">
      <c r="A399" s="126" t="s">
        <v>1035</v>
      </c>
      <c r="E399" s="108">
        <v>47543</v>
      </c>
      <c r="F399">
        <v>2030</v>
      </c>
      <c r="G399" s="111">
        <v>0.36799999999999999</v>
      </c>
      <c r="H399" s="111">
        <v>0.153</v>
      </c>
      <c r="I399" s="111">
        <v>0.153</v>
      </c>
      <c r="P399" s="108" t="s">
        <v>138</v>
      </c>
      <c r="Q399" s="108">
        <f t="shared" si="45"/>
        <v>46569</v>
      </c>
      <c r="R399" s="6" t="s">
        <v>798</v>
      </c>
    </row>
    <row r="400" spans="1:18" x14ac:dyDescent="0.2">
      <c r="A400" s="98" t="s">
        <v>506</v>
      </c>
      <c r="E400" s="108">
        <v>47574</v>
      </c>
      <c r="F400">
        <v>2030</v>
      </c>
      <c r="G400" s="111">
        <v>0.36799999999999999</v>
      </c>
      <c r="H400" s="111">
        <v>0.153</v>
      </c>
      <c r="I400" s="111">
        <v>0.153</v>
      </c>
      <c r="P400" s="108" t="s">
        <v>12</v>
      </c>
      <c r="Q400" s="108">
        <f t="shared" si="45"/>
        <v>46569</v>
      </c>
      <c r="R400" s="6" t="s">
        <v>798</v>
      </c>
    </row>
    <row r="401" spans="1:18" x14ac:dyDescent="0.2">
      <c r="A401" s="98" t="s">
        <v>298</v>
      </c>
      <c r="E401" s="108">
        <v>47604</v>
      </c>
      <c r="F401">
        <v>2030</v>
      </c>
      <c r="G401" s="111">
        <v>0.36799999999999999</v>
      </c>
      <c r="H401" s="111">
        <v>0.153</v>
      </c>
      <c r="I401" s="111">
        <v>0.153</v>
      </c>
      <c r="P401" s="108" t="s">
        <v>14</v>
      </c>
      <c r="Q401" s="108">
        <f t="shared" si="45"/>
        <v>46569</v>
      </c>
      <c r="R401" s="6" t="s">
        <v>801</v>
      </c>
    </row>
    <row r="402" spans="1:18" x14ac:dyDescent="0.2">
      <c r="A402" s="126" t="s">
        <v>912</v>
      </c>
      <c r="E402" s="108">
        <v>47635</v>
      </c>
      <c r="F402">
        <v>2030</v>
      </c>
      <c r="G402" s="111">
        <v>0.36799999999999999</v>
      </c>
      <c r="H402" s="111">
        <v>0.153</v>
      </c>
      <c r="I402" s="111">
        <v>0.153</v>
      </c>
      <c r="P402" s="108" t="s">
        <v>137</v>
      </c>
      <c r="Q402" s="108">
        <f t="shared" si="45"/>
        <v>46569</v>
      </c>
      <c r="R402" s="6" t="s">
        <v>801</v>
      </c>
    </row>
    <row r="403" spans="1:18" x14ac:dyDescent="0.2">
      <c r="A403" s="98" t="s">
        <v>299</v>
      </c>
      <c r="E403" s="108">
        <v>47665</v>
      </c>
      <c r="F403">
        <v>2031</v>
      </c>
      <c r="G403" s="111">
        <v>0.36799999999999999</v>
      </c>
      <c r="H403" s="111">
        <v>0.153</v>
      </c>
      <c r="I403" s="111">
        <v>0.153</v>
      </c>
      <c r="P403" s="108" t="s">
        <v>204</v>
      </c>
      <c r="Q403" s="108">
        <v>46569</v>
      </c>
      <c r="R403" s="6" t="s">
        <v>801</v>
      </c>
    </row>
    <row r="404" spans="1:18" x14ac:dyDescent="0.2">
      <c r="A404" s="98" t="s">
        <v>852</v>
      </c>
      <c r="E404" s="108">
        <v>47696</v>
      </c>
      <c r="F404">
        <v>2031</v>
      </c>
      <c r="G404" s="111">
        <v>0.36799999999999999</v>
      </c>
      <c r="H404" s="111">
        <v>0.153</v>
      </c>
      <c r="I404" s="111">
        <v>0.153</v>
      </c>
      <c r="P404" s="108" t="s">
        <v>139</v>
      </c>
      <c r="Q404" s="108">
        <f t="shared" ref="Q404:Q435" si="46">DATE(YEAR(Q344)+1,MONTH(Q344),DAY(Q344))</f>
        <v>46600</v>
      </c>
      <c r="R404" s="6" t="s">
        <v>798</v>
      </c>
    </row>
    <row r="405" spans="1:18" x14ac:dyDescent="0.2">
      <c r="A405" s="98" t="s">
        <v>510</v>
      </c>
      <c r="E405" s="108">
        <v>47727</v>
      </c>
      <c r="F405">
        <v>2031</v>
      </c>
      <c r="G405" s="111">
        <v>0.36799999999999999</v>
      </c>
      <c r="H405" s="111">
        <v>0.153</v>
      </c>
      <c r="I405" s="111">
        <v>0.153</v>
      </c>
      <c r="P405" s="108" t="s">
        <v>12</v>
      </c>
      <c r="Q405" s="108">
        <f t="shared" si="46"/>
        <v>46600</v>
      </c>
      <c r="R405" s="6" t="s">
        <v>798</v>
      </c>
    </row>
    <row r="406" spans="1:18" x14ac:dyDescent="0.2">
      <c r="A406" s="98" t="s">
        <v>1280</v>
      </c>
      <c r="E406" s="108">
        <v>47757</v>
      </c>
      <c r="F406">
        <v>2031</v>
      </c>
      <c r="G406" s="111">
        <v>0.36799999999999999</v>
      </c>
      <c r="H406" s="111">
        <v>0.153</v>
      </c>
      <c r="I406" s="111">
        <v>0.153</v>
      </c>
      <c r="P406" s="108" t="s">
        <v>14</v>
      </c>
      <c r="Q406" s="108">
        <f t="shared" si="46"/>
        <v>46600</v>
      </c>
      <c r="R406" s="6" t="s">
        <v>801</v>
      </c>
    </row>
    <row r="407" spans="1:18" x14ac:dyDescent="0.2">
      <c r="A407" s="98" t="s">
        <v>437</v>
      </c>
      <c r="E407" s="108">
        <v>47788</v>
      </c>
      <c r="F407">
        <v>2031</v>
      </c>
      <c r="G407" s="111">
        <v>0.36799999999999999</v>
      </c>
      <c r="H407" s="111">
        <v>0.153</v>
      </c>
      <c r="I407" s="111">
        <v>0.153</v>
      </c>
      <c r="P407" s="108" t="s">
        <v>137</v>
      </c>
      <c r="Q407" s="108">
        <f t="shared" si="46"/>
        <v>46600</v>
      </c>
      <c r="R407" s="6" t="s">
        <v>801</v>
      </c>
    </row>
    <row r="408" spans="1:18" x14ac:dyDescent="0.2">
      <c r="A408" s="126" t="s">
        <v>746</v>
      </c>
      <c r="E408" s="108">
        <v>47818</v>
      </c>
      <c r="F408">
        <v>2031</v>
      </c>
      <c r="G408" s="111">
        <v>0.36799999999999999</v>
      </c>
      <c r="H408" s="111">
        <v>0.153</v>
      </c>
      <c r="I408" s="111">
        <v>0.153</v>
      </c>
      <c r="P408" s="108" t="s">
        <v>140</v>
      </c>
      <c r="Q408" s="108">
        <f t="shared" si="46"/>
        <v>46600</v>
      </c>
      <c r="R408" s="6" t="s">
        <v>801</v>
      </c>
    </row>
    <row r="409" spans="1:18" x14ac:dyDescent="0.2">
      <c r="A409" s="126" t="s">
        <v>1281</v>
      </c>
      <c r="E409" s="108">
        <v>47849</v>
      </c>
      <c r="F409">
        <v>2031</v>
      </c>
      <c r="G409" s="111">
        <v>0.36799999999999999</v>
      </c>
      <c r="H409" s="111">
        <v>0.153</v>
      </c>
      <c r="I409" s="111">
        <v>0.153</v>
      </c>
      <c r="P409" s="108" t="s">
        <v>12</v>
      </c>
      <c r="Q409" s="108">
        <f t="shared" si="46"/>
        <v>46631</v>
      </c>
      <c r="R409" s="6" t="s">
        <v>798</v>
      </c>
    </row>
    <row r="410" spans="1:18" x14ac:dyDescent="0.2">
      <c r="A410" s="98" t="s">
        <v>468</v>
      </c>
      <c r="E410" s="108">
        <v>47880</v>
      </c>
      <c r="F410">
        <v>2031</v>
      </c>
      <c r="G410" s="111">
        <v>0.36799999999999999</v>
      </c>
      <c r="H410" s="111">
        <v>0.153</v>
      </c>
      <c r="I410" s="111">
        <v>0.153</v>
      </c>
      <c r="P410" s="108" t="s">
        <v>14</v>
      </c>
      <c r="Q410" s="108">
        <f t="shared" si="46"/>
        <v>46631</v>
      </c>
      <c r="R410" s="6" t="s">
        <v>801</v>
      </c>
    </row>
    <row r="411" spans="1:18" x14ac:dyDescent="0.2">
      <c r="A411" s="98" t="s">
        <v>719</v>
      </c>
      <c r="E411" s="108">
        <v>47908</v>
      </c>
      <c r="F411">
        <v>2031</v>
      </c>
      <c r="G411" s="111">
        <v>0.36799999999999999</v>
      </c>
      <c r="H411" s="111">
        <v>0.153</v>
      </c>
      <c r="I411" s="111">
        <v>0.153</v>
      </c>
      <c r="P411" s="108" t="s">
        <v>137</v>
      </c>
      <c r="Q411" s="108">
        <f t="shared" si="46"/>
        <v>46631</v>
      </c>
      <c r="R411" s="6" t="s">
        <v>801</v>
      </c>
    </row>
    <row r="412" spans="1:18" x14ac:dyDescent="0.2">
      <c r="A412" s="98" t="s">
        <v>531</v>
      </c>
      <c r="E412" s="108">
        <v>47939</v>
      </c>
      <c r="F412">
        <v>2031</v>
      </c>
      <c r="G412" s="111">
        <v>0.36799999999999999</v>
      </c>
      <c r="H412" s="111">
        <v>0.153</v>
      </c>
      <c r="I412" s="111">
        <v>0.153</v>
      </c>
      <c r="P412" s="108" t="s">
        <v>13</v>
      </c>
      <c r="Q412" s="108">
        <f t="shared" si="46"/>
        <v>46631</v>
      </c>
      <c r="R412" s="6" t="s">
        <v>801</v>
      </c>
    </row>
    <row r="413" spans="1:18" x14ac:dyDescent="0.2">
      <c r="A413" s="126" t="s">
        <v>913</v>
      </c>
      <c r="E413" s="108">
        <v>47969</v>
      </c>
      <c r="F413">
        <v>2031</v>
      </c>
      <c r="G413" s="111">
        <v>0.36799999999999999</v>
      </c>
      <c r="H413" s="111">
        <v>0.153</v>
      </c>
      <c r="I413" s="111">
        <v>0.153</v>
      </c>
      <c r="P413" s="108" t="s">
        <v>131</v>
      </c>
      <c r="Q413" s="108">
        <f t="shared" si="46"/>
        <v>46631</v>
      </c>
      <c r="R413" s="6" t="s">
        <v>801</v>
      </c>
    </row>
    <row r="414" spans="1:18" x14ac:dyDescent="0.2">
      <c r="A414" s="98" t="s">
        <v>300</v>
      </c>
      <c r="E414" s="108">
        <v>48000</v>
      </c>
      <c r="F414">
        <v>2031</v>
      </c>
      <c r="G414" s="111">
        <v>0.36799999999999999</v>
      </c>
      <c r="H414" s="111">
        <v>0.153</v>
      </c>
      <c r="I414" s="111">
        <v>0.153</v>
      </c>
      <c r="P414" s="127" t="s">
        <v>14</v>
      </c>
      <c r="Q414" s="108">
        <f t="shared" si="46"/>
        <v>46661</v>
      </c>
      <c r="R414" s="6" t="s">
        <v>801</v>
      </c>
    </row>
    <row r="415" spans="1:18" x14ac:dyDescent="0.2">
      <c r="A415" s="126" t="s">
        <v>767</v>
      </c>
      <c r="E415" s="108"/>
      <c r="P415" s="108" t="s">
        <v>137</v>
      </c>
      <c r="Q415" s="108">
        <f t="shared" si="46"/>
        <v>46661</v>
      </c>
      <c r="R415" s="6" t="s">
        <v>801</v>
      </c>
    </row>
    <row r="416" spans="1:18" x14ac:dyDescent="0.2">
      <c r="A416" s="98" t="s">
        <v>598</v>
      </c>
      <c r="E416" s="108"/>
      <c r="P416" s="108" t="s">
        <v>13</v>
      </c>
      <c r="Q416" s="108">
        <f t="shared" si="46"/>
        <v>46661</v>
      </c>
      <c r="R416" s="6" t="s">
        <v>801</v>
      </c>
    </row>
    <row r="417" spans="1:18" x14ac:dyDescent="0.2">
      <c r="A417" s="98" t="s">
        <v>469</v>
      </c>
      <c r="E417" s="108"/>
      <c r="P417" s="108" t="s">
        <v>12</v>
      </c>
      <c r="Q417" s="108">
        <f t="shared" si="46"/>
        <v>46661</v>
      </c>
      <c r="R417" s="6" t="s">
        <v>801</v>
      </c>
    </row>
    <row r="418" spans="1:18" x14ac:dyDescent="0.2">
      <c r="A418" s="126" t="s">
        <v>914</v>
      </c>
      <c r="P418" s="108" t="s">
        <v>131</v>
      </c>
      <c r="Q418" s="108">
        <f t="shared" si="46"/>
        <v>46661</v>
      </c>
      <c r="R418" s="6" t="s">
        <v>801</v>
      </c>
    </row>
    <row r="419" spans="1:18" x14ac:dyDescent="0.2">
      <c r="A419" s="126" t="s">
        <v>1334</v>
      </c>
      <c r="P419" s="108" t="s">
        <v>141</v>
      </c>
      <c r="Q419" s="108">
        <f t="shared" si="46"/>
        <v>46692</v>
      </c>
      <c r="R419" s="6" t="s">
        <v>801</v>
      </c>
    </row>
    <row r="420" spans="1:18" x14ac:dyDescent="0.2">
      <c r="A420" s="98" t="s">
        <v>470</v>
      </c>
      <c r="F420" s="19" t="s">
        <v>17</v>
      </c>
      <c r="I420" s="19" t="s">
        <v>20</v>
      </c>
      <c r="P420" s="108" t="s">
        <v>137</v>
      </c>
      <c r="Q420" s="108">
        <f t="shared" si="46"/>
        <v>46692</v>
      </c>
      <c r="R420" s="6" t="s">
        <v>801</v>
      </c>
    </row>
    <row r="421" spans="1:18" x14ac:dyDescent="0.2">
      <c r="A421" s="126" t="s">
        <v>768</v>
      </c>
      <c r="P421" s="108" t="s">
        <v>13</v>
      </c>
      <c r="Q421" s="108">
        <f t="shared" si="46"/>
        <v>46692</v>
      </c>
      <c r="R421" s="6" t="s">
        <v>801</v>
      </c>
    </row>
    <row r="422" spans="1:18" x14ac:dyDescent="0.2">
      <c r="A422" s="126" t="s">
        <v>1282</v>
      </c>
      <c r="F422" t="s">
        <v>131</v>
      </c>
      <c r="I422" s="69">
        <v>0</v>
      </c>
      <c r="P422" s="108" t="s">
        <v>12</v>
      </c>
      <c r="Q422" s="108">
        <f t="shared" si="46"/>
        <v>46692</v>
      </c>
      <c r="R422" s="6" t="s">
        <v>801</v>
      </c>
    </row>
    <row r="423" spans="1:18" x14ac:dyDescent="0.2">
      <c r="A423" s="126" t="s">
        <v>915</v>
      </c>
      <c r="F423" t="s">
        <v>180</v>
      </c>
      <c r="I423" s="69">
        <v>4716.67</v>
      </c>
      <c r="P423" s="108" t="s">
        <v>142</v>
      </c>
      <c r="Q423" s="108">
        <f t="shared" si="46"/>
        <v>46692</v>
      </c>
      <c r="R423" s="6" t="s">
        <v>875</v>
      </c>
    </row>
    <row r="424" spans="1:18" x14ac:dyDescent="0.2">
      <c r="A424" s="126" t="s">
        <v>853</v>
      </c>
      <c r="F424" t="s">
        <v>181</v>
      </c>
      <c r="I424" s="69">
        <v>4983.33</v>
      </c>
      <c r="P424" s="108" t="s">
        <v>147</v>
      </c>
      <c r="Q424" s="108">
        <f t="shared" si="46"/>
        <v>46722</v>
      </c>
      <c r="R424" s="6" t="s">
        <v>801</v>
      </c>
    </row>
    <row r="425" spans="1:18" x14ac:dyDescent="0.2">
      <c r="A425" s="98" t="s">
        <v>668</v>
      </c>
      <c r="F425" t="s">
        <v>182</v>
      </c>
      <c r="I425" s="69">
        <v>5250</v>
      </c>
      <c r="P425" s="108" t="s">
        <v>137</v>
      </c>
      <c r="Q425" s="108">
        <f t="shared" si="46"/>
        <v>46722</v>
      </c>
      <c r="R425" s="6" t="s">
        <v>801</v>
      </c>
    </row>
    <row r="426" spans="1:18" x14ac:dyDescent="0.2">
      <c r="A426" s="98" t="s">
        <v>564</v>
      </c>
      <c r="F426" t="s">
        <v>183</v>
      </c>
      <c r="I426" s="69">
        <v>5616.67</v>
      </c>
      <c r="P426" s="108" t="s">
        <v>13</v>
      </c>
      <c r="Q426" s="108">
        <f t="shared" si="46"/>
        <v>46722</v>
      </c>
      <c r="R426" s="6" t="s">
        <v>801</v>
      </c>
    </row>
    <row r="427" spans="1:18" x14ac:dyDescent="0.2">
      <c r="A427" s="98" t="s">
        <v>301</v>
      </c>
      <c r="F427" t="s">
        <v>184</v>
      </c>
      <c r="I427" s="69">
        <v>5891.67</v>
      </c>
      <c r="P427" s="108" t="s">
        <v>12</v>
      </c>
      <c r="Q427" s="108">
        <f t="shared" si="46"/>
        <v>46722</v>
      </c>
      <c r="R427" s="6" t="s">
        <v>801</v>
      </c>
    </row>
    <row r="428" spans="1:18" x14ac:dyDescent="0.2">
      <c r="A428" s="126" t="s">
        <v>916</v>
      </c>
      <c r="F428" t="s">
        <v>185</v>
      </c>
      <c r="I428" s="69">
        <v>6208.33</v>
      </c>
      <c r="P428" s="108" t="s">
        <v>143</v>
      </c>
      <c r="Q428" s="108">
        <f t="shared" si="46"/>
        <v>46722</v>
      </c>
      <c r="R428" s="6" t="s">
        <v>875</v>
      </c>
    </row>
    <row r="429" spans="1:18" x14ac:dyDescent="0.2">
      <c r="A429" s="126" t="s">
        <v>1237</v>
      </c>
      <c r="F429" t="s">
        <v>186</v>
      </c>
      <c r="I429" s="69">
        <v>6541.67</v>
      </c>
      <c r="P429" s="108" t="s">
        <v>137</v>
      </c>
      <c r="Q429" s="108">
        <f t="shared" si="46"/>
        <v>46753</v>
      </c>
      <c r="R429" s="6" t="s">
        <v>801</v>
      </c>
    </row>
    <row r="430" spans="1:18" x14ac:dyDescent="0.2">
      <c r="A430" s="126" t="s">
        <v>917</v>
      </c>
      <c r="F430" t="s">
        <v>187</v>
      </c>
      <c r="I430" s="69">
        <v>6925</v>
      </c>
      <c r="P430" s="108" t="s">
        <v>13</v>
      </c>
      <c r="Q430" s="108">
        <f t="shared" si="46"/>
        <v>46753</v>
      </c>
      <c r="R430" s="6" t="s">
        <v>801</v>
      </c>
    </row>
    <row r="431" spans="1:18" x14ac:dyDescent="0.2">
      <c r="A431" s="98" t="s">
        <v>302</v>
      </c>
      <c r="F431" t="s">
        <v>188</v>
      </c>
      <c r="I431" s="69">
        <v>7608.33</v>
      </c>
      <c r="P431" s="108" t="s">
        <v>12</v>
      </c>
      <c r="Q431" s="108">
        <f t="shared" si="46"/>
        <v>46753</v>
      </c>
      <c r="R431" s="6" t="s">
        <v>801</v>
      </c>
    </row>
    <row r="432" spans="1:18" x14ac:dyDescent="0.2">
      <c r="A432" s="98" t="s">
        <v>303</v>
      </c>
      <c r="F432" t="s">
        <v>189</v>
      </c>
      <c r="I432" s="69">
        <v>8491.67</v>
      </c>
      <c r="P432" s="108" t="s">
        <v>14</v>
      </c>
      <c r="Q432" s="108">
        <f t="shared" si="46"/>
        <v>46753</v>
      </c>
      <c r="R432" s="6" t="s">
        <v>875</v>
      </c>
    </row>
    <row r="433" spans="1:18" x14ac:dyDescent="0.2">
      <c r="A433" s="126" t="s">
        <v>1036</v>
      </c>
      <c r="F433" t="s">
        <v>190</v>
      </c>
      <c r="I433" s="69">
        <v>9550</v>
      </c>
      <c r="P433" s="108" t="s">
        <v>131</v>
      </c>
      <c r="Q433" s="108">
        <f t="shared" si="46"/>
        <v>46753</v>
      </c>
      <c r="R433" s="6" t="s">
        <v>875</v>
      </c>
    </row>
    <row r="434" spans="1:18" x14ac:dyDescent="0.2">
      <c r="A434" s="98" t="s">
        <v>304</v>
      </c>
      <c r="F434" t="s">
        <v>191</v>
      </c>
      <c r="I434" s="69">
        <v>10575</v>
      </c>
      <c r="P434" s="108" t="s">
        <v>144</v>
      </c>
      <c r="Q434" s="108">
        <f t="shared" si="46"/>
        <v>46784</v>
      </c>
      <c r="R434" s="6" t="s">
        <v>801</v>
      </c>
    </row>
    <row r="435" spans="1:18" x14ac:dyDescent="0.2">
      <c r="A435" s="126" t="s">
        <v>682</v>
      </c>
      <c r="F435" t="s">
        <v>1201</v>
      </c>
      <c r="P435" s="108" t="s">
        <v>13</v>
      </c>
      <c r="Q435" s="108">
        <f t="shared" si="46"/>
        <v>46784</v>
      </c>
      <c r="R435" s="6" t="s">
        <v>801</v>
      </c>
    </row>
    <row r="436" spans="1:18" x14ac:dyDescent="0.2">
      <c r="A436" s="98" t="s">
        <v>638</v>
      </c>
      <c r="F436" t="s">
        <v>1202</v>
      </c>
      <c r="P436" s="108" t="s">
        <v>12</v>
      </c>
      <c r="Q436" s="108">
        <f t="shared" ref="Q436:Q462" si="47">DATE(YEAR(Q376)+1,MONTH(Q376),DAY(Q376))</f>
        <v>46784</v>
      </c>
      <c r="R436" s="6" t="s">
        <v>801</v>
      </c>
    </row>
    <row r="437" spans="1:18" x14ac:dyDescent="0.2">
      <c r="A437" s="98" t="s">
        <v>813</v>
      </c>
      <c r="F437" t="s">
        <v>1203</v>
      </c>
      <c r="P437" s="108" t="s">
        <v>14</v>
      </c>
      <c r="Q437" s="108">
        <f t="shared" si="47"/>
        <v>46784</v>
      </c>
      <c r="R437" s="6" t="s">
        <v>875</v>
      </c>
    </row>
    <row r="438" spans="1:18" x14ac:dyDescent="0.2">
      <c r="A438" s="126" t="s">
        <v>747</v>
      </c>
      <c r="F438" t="s">
        <v>1204</v>
      </c>
      <c r="P438" s="108" t="s">
        <v>145</v>
      </c>
      <c r="Q438" s="108">
        <f t="shared" si="47"/>
        <v>46784</v>
      </c>
      <c r="R438" s="6" t="s">
        <v>875</v>
      </c>
    </row>
    <row r="439" spans="1:18" x14ac:dyDescent="0.2">
      <c r="A439" s="98" t="s">
        <v>588</v>
      </c>
      <c r="F439" t="s">
        <v>160</v>
      </c>
      <c r="I439" s="69">
        <v>9241.67</v>
      </c>
      <c r="P439" s="108" t="s">
        <v>146</v>
      </c>
      <c r="Q439" s="108">
        <f t="shared" si="47"/>
        <v>46813</v>
      </c>
      <c r="R439" s="6" t="s">
        <v>801</v>
      </c>
    </row>
    <row r="440" spans="1:18" x14ac:dyDescent="0.2">
      <c r="A440" s="126" t="s">
        <v>769</v>
      </c>
      <c r="F440" t="s">
        <v>1205</v>
      </c>
      <c r="P440" s="108" t="s">
        <v>13</v>
      </c>
      <c r="Q440" s="108">
        <f t="shared" si="47"/>
        <v>46813</v>
      </c>
      <c r="R440" s="6" t="s">
        <v>801</v>
      </c>
    </row>
    <row r="441" spans="1:18" x14ac:dyDescent="0.2">
      <c r="A441" s="126" t="s">
        <v>1037</v>
      </c>
      <c r="F441" t="s">
        <v>161</v>
      </c>
      <c r="I441" s="69">
        <v>9700</v>
      </c>
      <c r="P441" s="108" t="s">
        <v>12</v>
      </c>
      <c r="Q441" s="108">
        <f t="shared" si="47"/>
        <v>46813</v>
      </c>
      <c r="R441" s="6" t="s">
        <v>801</v>
      </c>
    </row>
    <row r="442" spans="1:18" x14ac:dyDescent="0.2">
      <c r="A442" s="98" t="s">
        <v>694</v>
      </c>
      <c r="F442" t="s">
        <v>1206</v>
      </c>
      <c r="P442" t="s">
        <v>14</v>
      </c>
      <c r="Q442" s="108">
        <f t="shared" si="47"/>
        <v>46813</v>
      </c>
      <c r="R442" s="6" t="s">
        <v>875</v>
      </c>
    </row>
    <row r="443" spans="1:18" x14ac:dyDescent="0.2">
      <c r="A443" s="98" t="s">
        <v>305</v>
      </c>
      <c r="F443" t="s">
        <v>162</v>
      </c>
      <c r="I443" s="69">
        <v>10191.67</v>
      </c>
      <c r="P443" t="s">
        <v>148</v>
      </c>
      <c r="Q443" s="108">
        <f t="shared" si="47"/>
        <v>46813</v>
      </c>
      <c r="R443" s="6" t="s">
        <v>875</v>
      </c>
    </row>
    <row r="444" spans="1:18" x14ac:dyDescent="0.2">
      <c r="A444" s="126" t="s">
        <v>918</v>
      </c>
      <c r="F444" t="s">
        <v>1207</v>
      </c>
      <c r="P444" t="s">
        <v>149</v>
      </c>
      <c r="Q444" s="108">
        <f t="shared" si="47"/>
        <v>46844</v>
      </c>
      <c r="R444" s="6" t="s">
        <v>801</v>
      </c>
    </row>
    <row r="445" spans="1:18" x14ac:dyDescent="0.2">
      <c r="A445" s="98" t="s">
        <v>306</v>
      </c>
      <c r="F445" t="s">
        <v>163</v>
      </c>
      <c r="I445" s="69">
        <v>10733.33</v>
      </c>
      <c r="P445" t="s">
        <v>13</v>
      </c>
      <c r="Q445" s="108">
        <f t="shared" si="47"/>
        <v>46844</v>
      </c>
      <c r="R445" s="6" t="s">
        <v>801</v>
      </c>
    </row>
    <row r="446" spans="1:18" x14ac:dyDescent="0.2">
      <c r="A446" s="98" t="s">
        <v>307</v>
      </c>
      <c r="F446" t="s">
        <v>1208</v>
      </c>
      <c r="P446" t="s">
        <v>12</v>
      </c>
      <c r="Q446" s="108">
        <f t="shared" si="47"/>
        <v>46844</v>
      </c>
      <c r="R446" s="6" t="s">
        <v>801</v>
      </c>
    </row>
    <row r="447" spans="1:18" x14ac:dyDescent="0.2">
      <c r="A447" s="98" t="s">
        <v>599</v>
      </c>
      <c r="F447" t="s">
        <v>164</v>
      </c>
      <c r="I447" s="69">
        <v>11191.67</v>
      </c>
      <c r="P447" t="s">
        <v>14</v>
      </c>
      <c r="Q447" s="108">
        <f t="shared" si="47"/>
        <v>46844</v>
      </c>
      <c r="R447" s="6" t="s">
        <v>875</v>
      </c>
    </row>
    <row r="448" spans="1:18" x14ac:dyDescent="0.2">
      <c r="A448" s="98" t="s">
        <v>308</v>
      </c>
      <c r="F448" t="s">
        <v>1209</v>
      </c>
      <c r="P448" t="s">
        <v>150</v>
      </c>
      <c r="Q448" s="108">
        <f t="shared" si="47"/>
        <v>46844</v>
      </c>
      <c r="R448" s="6" t="s">
        <v>875</v>
      </c>
    </row>
    <row r="449" spans="1:19" x14ac:dyDescent="0.2">
      <c r="A449" s="98" t="s">
        <v>645</v>
      </c>
      <c r="F449" t="s">
        <v>165</v>
      </c>
      <c r="I449" s="69">
        <v>11608.33</v>
      </c>
      <c r="P449" t="s">
        <v>151</v>
      </c>
      <c r="Q449" s="108">
        <f t="shared" si="47"/>
        <v>46874</v>
      </c>
      <c r="R449" s="6" t="s">
        <v>801</v>
      </c>
    </row>
    <row r="450" spans="1:19" x14ac:dyDescent="0.2">
      <c r="A450" s="126" t="s">
        <v>919</v>
      </c>
      <c r="F450" t="s">
        <v>1210</v>
      </c>
      <c r="P450" t="s">
        <v>13</v>
      </c>
      <c r="Q450" s="108">
        <f t="shared" si="47"/>
        <v>46874</v>
      </c>
      <c r="R450" s="6" t="s">
        <v>801</v>
      </c>
    </row>
    <row r="451" spans="1:19" x14ac:dyDescent="0.2">
      <c r="A451" s="98" t="s">
        <v>854</v>
      </c>
      <c r="F451" t="s">
        <v>166</v>
      </c>
      <c r="I451" s="69">
        <v>11200</v>
      </c>
      <c r="P451" t="s">
        <v>12</v>
      </c>
      <c r="Q451" s="108">
        <f t="shared" si="47"/>
        <v>46874</v>
      </c>
      <c r="R451" s="6" t="s">
        <v>801</v>
      </c>
    </row>
    <row r="452" spans="1:19" x14ac:dyDescent="0.2">
      <c r="A452" s="98" t="s">
        <v>438</v>
      </c>
      <c r="F452" t="s">
        <v>1211</v>
      </c>
      <c r="P452" s="6" t="s">
        <v>14</v>
      </c>
      <c r="Q452" s="108">
        <f t="shared" si="47"/>
        <v>46874</v>
      </c>
      <c r="R452" s="6" t="s">
        <v>875</v>
      </c>
    </row>
    <row r="453" spans="1:19" x14ac:dyDescent="0.2">
      <c r="A453" s="98" t="s">
        <v>920</v>
      </c>
      <c r="F453" t="s">
        <v>167</v>
      </c>
      <c r="I453" s="69">
        <v>11616.67</v>
      </c>
      <c r="P453" t="s">
        <v>152</v>
      </c>
      <c r="Q453" s="108">
        <f t="shared" si="47"/>
        <v>46874</v>
      </c>
      <c r="R453" s="6" t="s">
        <v>875</v>
      </c>
    </row>
    <row r="454" spans="1:19" x14ac:dyDescent="0.2">
      <c r="A454" s="98" t="s">
        <v>1283</v>
      </c>
      <c r="F454" t="s">
        <v>1212</v>
      </c>
      <c r="P454" t="s">
        <v>13</v>
      </c>
      <c r="Q454" s="108">
        <f t="shared" si="47"/>
        <v>46905</v>
      </c>
      <c r="R454" s="6" t="s">
        <v>801</v>
      </c>
    </row>
    <row r="455" spans="1:19" x14ac:dyDescent="0.2">
      <c r="A455" s="126" t="s">
        <v>770</v>
      </c>
      <c r="F455" t="s">
        <v>168</v>
      </c>
      <c r="I455" s="69">
        <v>12075</v>
      </c>
      <c r="P455" t="s">
        <v>12</v>
      </c>
      <c r="Q455" s="108">
        <f t="shared" si="47"/>
        <v>46905</v>
      </c>
      <c r="R455" s="6" t="s">
        <v>801</v>
      </c>
    </row>
    <row r="456" spans="1:19" x14ac:dyDescent="0.2">
      <c r="A456" s="126" t="s">
        <v>921</v>
      </c>
      <c r="F456" t="s">
        <v>1213</v>
      </c>
      <c r="P456" t="s">
        <v>14</v>
      </c>
      <c r="Q456" s="108">
        <f t="shared" si="47"/>
        <v>46905</v>
      </c>
      <c r="R456" s="6" t="s">
        <v>875</v>
      </c>
    </row>
    <row r="457" spans="1:19" x14ac:dyDescent="0.2">
      <c r="A457" s="126" t="s">
        <v>839</v>
      </c>
      <c r="F457" t="s">
        <v>169</v>
      </c>
      <c r="I457" s="69">
        <v>12508.33</v>
      </c>
      <c r="P457" t="s">
        <v>137</v>
      </c>
      <c r="Q457" s="108">
        <f t="shared" si="47"/>
        <v>46905</v>
      </c>
      <c r="R457" s="6" t="s">
        <v>875</v>
      </c>
    </row>
    <row r="458" spans="1:19" x14ac:dyDescent="0.2">
      <c r="A458" s="126" t="s">
        <v>922</v>
      </c>
      <c r="F458" t="s">
        <v>1214</v>
      </c>
      <c r="P458" t="s">
        <v>131</v>
      </c>
      <c r="Q458" s="108">
        <f t="shared" si="47"/>
        <v>46905</v>
      </c>
      <c r="R458" s="6" t="s">
        <v>875</v>
      </c>
    </row>
    <row r="459" spans="1:19" x14ac:dyDescent="0.2">
      <c r="A459" s="126" t="s">
        <v>1238</v>
      </c>
      <c r="F459" t="s">
        <v>170</v>
      </c>
      <c r="I459" s="69">
        <v>12958.33</v>
      </c>
      <c r="P459" s="108" t="s">
        <v>138</v>
      </c>
      <c r="Q459" s="108">
        <f t="shared" si="47"/>
        <v>46935</v>
      </c>
      <c r="R459" s="6" t="s">
        <v>801</v>
      </c>
    </row>
    <row r="460" spans="1:19" x14ac:dyDescent="0.2">
      <c r="A460" s="126" t="s">
        <v>923</v>
      </c>
      <c r="F460" t="s">
        <v>1215</v>
      </c>
      <c r="P460" s="108" t="s">
        <v>12</v>
      </c>
      <c r="Q460" s="108">
        <f t="shared" si="47"/>
        <v>46935</v>
      </c>
      <c r="R460" s="6" t="s">
        <v>801</v>
      </c>
    </row>
    <row r="461" spans="1:19" x14ac:dyDescent="0.2">
      <c r="A461" s="126" t="s">
        <v>924</v>
      </c>
      <c r="F461" t="s">
        <v>171</v>
      </c>
      <c r="I461" s="69">
        <v>12516.67</v>
      </c>
      <c r="P461" s="108" t="s">
        <v>14</v>
      </c>
      <c r="Q461" s="108">
        <f t="shared" si="47"/>
        <v>46935</v>
      </c>
      <c r="R461" s="6" t="s">
        <v>875</v>
      </c>
    </row>
    <row r="462" spans="1:19" x14ac:dyDescent="0.2">
      <c r="A462" s="126" t="s">
        <v>865</v>
      </c>
      <c r="F462" t="s">
        <v>1216</v>
      </c>
      <c r="P462" s="108" t="s">
        <v>137</v>
      </c>
      <c r="Q462" s="108">
        <f t="shared" si="47"/>
        <v>46935</v>
      </c>
      <c r="R462" s="6" t="s">
        <v>875</v>
      </c>
    </row>
    <row r="463" spans="1:19" x14ac:dyDescent="0.2">
      <c r="A463" s="126" t="s">
        <v>925</v>
      </c>
      <c r="F463" t="s">
        <v>172</v>
      </c>
      <c r="I463" s="69">
        <v>12966.67</v>
      </c>
      <c r="P463" s="108" t="s">
        <v>204</v>
      </c>
      <c r="Q463" s="108">
        <v>46935</v>
      </c>
      <c r="R463" s="6" t="s">
        <v>875</v>
      </c>
    </row>
    <row r="464" spans="1:19" x14ac:dyDescent="0.2">
      <c r="A464" s="98" t="s">
        <v>309</v>
      </c>
      <c r="F464" t="s">
        <v>1217</v>
      </c>
      <c r="P464" s="108" t="s">
        <v>139</v>
      </c>
      <c r="Q464" s="108">
        <f t="shared" ref="Q464:Q522" si="48">DATE(YEAR(Q404)+1,MONTH(Q404),DAY(Q404))</f>
        <v>46966</v>
      </c>
      <c r="R464" s="6" t="s">
        <v>801</v>
      </c>
      <c r="S464" s="6"/>
    </row>
    <row r="465" spans="1:19" x14ac:dyDescent="0.2">
      <c r="A465" s="98" t="s">
        <v>572</v>
      </c>
      <c r="F465" t="s">
        <v>174</v>
      </c>
      <c r="I465" s="69">
        <v>13633.33</v>
      </c>
      <c r="P465" s="108" t="s">
        <v>12</v>
      </c>
      <c r="Q465" s="108">
        <f t="shared" si="48"/>
        <v>46966</v>
      </c>
      <c r="R465" s="6" t="s">
        <v>801</v>
      </c>
      <c r="S465" s="6"/>
    </row>
    <row r="466" spans="1:19" x14ac:dyDescent="0.2">
      <c r="A466" s="126" t="s">
        <v>606</v>
      </c>
      <c r="F466" t="s">
        <v>1218</v>
      </c>
      <c r="P466" s="108" t="s">
        <v>14</v>
      </c>
      <c r="Q466" s="108">
        <f t="shared" si="48"/>
        <v>46966</v>
      </c>
      <c r="R466" s="6" t="s">
        <v>875</v>
      </c>
      <c r="S466" s="6"/>
    </row>
    <row r="467" spans="1:19" x14ac:dyDescent="0.2">
      <c r="A467" s="98" t="s">
        <v>310</v>
      </c>
      <c r="F467" t="s">
        <v>1220</v>
      </c>
      <c r="I467" s="69">
        <v>14408.33</v>
      </c>
      <c r="P467" s="108" t="s">
        <v>137</v>
      </c>
      <c r="Q467" s="108">
        <f t="shared" si="48"/>
        <v>46966</v>
      </c>
      <c r="R467" s="6" t="s">
        <v>875</v>
      </c>
      <c r="S467" s="6"/>
    </row>
    <row r="468" spans="1:19" x14ac:dyDescent="0.2">
      <c r="A468" s="126" t="s">
        <v>926</v>
      </c>
      <c r="F468" t="s">
        <v>1219</v>
      </c>
      <c r="P468" s="108" t="s">
        <v>140</v>
      </c>
      <c r="Q468" s="108">
        <f t="shared" si="48"/>
        <v>46966</v>
      </c>
      <c r="R468" s="6" t="s">
        <v>875</v>
      </c>
      <c r="S468" s="6"/>
    </row>
    <row r="469" spans="1:19" x14ac:dyDescent="0.2">
      <c r="A469" s="98" t="s">
        <v>471</v>
      </c>
      <c r="F469" t="s">
        <v>176</v>
      </c>
      <c r="I469" s="69">
        <v>15225</v>
      </c>
      <c r="P469" s="108" t="s">
        <v>12</v>
      </c>
      <c r="Q469" s="108">
        <f t="shared" si="48"/>
        <v>46997</v>
      </c>
      <c r="R469" s="6" t="s">
        <v>801</v>
      </c>
      <c r="S469" s="6"/>
    </row>
    <row r="470" spans="1:19" x14ac:dyDescent="0.2">
      <c r="A470" s="126" t="s">
        <v>927</v>
      </c>
      <c r="F470" t="s">
        <v>1221</v>
      </c>
      <c r="P470" s="108" t="s">
        <v>14</v>
      </c>
      <c r="Q470" s="108">
        <f t="shared" si="48"/>
        <v>46997</v>
      </c>
      <c r="R470" s="6" t="s">
        <v>875</v>
      </c>
      <c r="S470" s="6"/>
    </row>
    <row r="471" spans="1:19" x14ac:dyDescent="0.2">
      <c r="A471" s="98" t="s">
        <v>311</v>
      </c>
      <c r="F471" t="s">
        <v>173</v>
      </c>
      <c r="I471" s="69">
        <v>16333.33</v>
      </c>
      <c r="P471" s="108" t="s">
        <v>137</v>
      </c>
      <c r="Q471" s="108">
        <f t="shared" si="48"/>
        <v>46997</v>
      </c>
      <c r="R471" s="6" t="s">
        <v>875</v>
      </c>
      <c r="S471" s="6"/>
    </row>
    <row r="472" spans="1:19" x14ac:dyDescent="0.2">
      <c r="A472" s="98" t="s">
        <v>312</v>
      </c>
      <c r="F472" t="s">
        <v>1222</v>
      </c>
      <c r="P472" s="108" t="s">
        <v>13</v>
      </c>
      <c r="Q472" s="108">
        <f t="shared" si="48"/>
        <v>46997</v>
      </c>
      <c r="R472" s="6" t="s">
        <v>875</v>
      </c>
      <c r="S472" s="6"/>
    </row>
    <row r="473" spans="1:19" x14ac:dyDescent="0.2">
      <c r="A473" s="98" t="s">
        <v>573</v>
      </c>
      <c r="F473" t="s">
        <v>177</v>
      </c>
      <c r="I473" s="69">
        <v>17508.330000000002</v>
      </c>
      <c r="P473" s="108" t="s">
        <v>131</v>
      </c>
      <c r="Q473" s="108">
        <f t="shared" si="48"/>
        <v>46997</v>
      </c>
      <c r="R473" s="6" t="s">
        <v>875</v>
      </c>
      <c r="S473" s="6"/>
    </row>
    <row r="474" spans="1:19" x14ac:dyDescent="0.2">
      <c r="A474" s="98" t="s">
        <v>313</v>
      </c>
      <c r="F474" t="s">
        <v>1223</v>
      </c>
      <c r="P474" s="127" t="s">
        <v>14</v>
      </c>
      <c r="Q474" s="108">
        <f t="shared" si="48"/>
        <v>47027</v>
      </c>
      <c r="R474" s="6" t="s">
        <v>875</v>
      </c>
      <c r="S474" s="6"/>
    </row>
    <row r="475" spans="1:19" x14ac:dyDescent="0.2">
      <c r="A475" s="126" t="s">
        <v>928</v>
      </c>
      <c r="F475" t="s">
        <v>178</v>
      </c>
      <c r="I475" s="69">
        <v>18733.330000000002</v>
      </c>
      <c r="P475" s="108" t="s">
        <v>137</v>
      </c>
      <c r="Q475" s="108">
        <f t="shared" si="48"/>
        <v>47027</v>
      </c>
      <c r="R475" s="6" t="s">
        <v>875</v>
      </c>
      <c r="S475" s="6"/>
    </row>
    <row r="476" spans="1:19" x14ac:dyDescent="0.2">
      <c r="A476" s="98" t="s">
        <v>439</v>
      </c>
      <c r="F476" t="s">
        <v>1224</v>
      </c>
      <c r="P476" s="108" t="s">
        <v>13</v>
      </c>
      <c r="Q476" s="108">
        <f t="shared" si="48"/>
        <v>47027</v>
      </c>
      <c r="R476" s="6" t="s">
        <v>875</v>
      </c>
      <c r="S476" s="6"/>
    </row>
    <row r="477" spans="1:19" x14ac:dyDescent="0.2">
      <c r="A477" s="98" t="s">
        <v>314</v>
      </c>
      <c r="F477" t="s">
        <v>179</v>
      </c>
      <c r="I477" s="69">
        <v>20241.669999999998</v>
      </c>
      <c r="P477" s="108" t="s">
        <v>12</v>
      </c>
      <c r="Q477" s="108">
        <f t="shared" si="48"/>
        <v>47027</v>
      </c>
      <c r="R477" s="6" t="s">
        <v>875</v>
      </c>
      <c r="S477" s="6"/>
    </row>
    <row r="478" spans="1:19" x14ac:dyDescent="0.2">
      <c r="A478" s="126" t="s">
        <v>771</v>
      </c>
      <c r="F478" t="s">
        <v>1225</v>
      </c>
      <c r="P478" s="108" t="s">
        <v>131</v>
      </c>
      <c r="Q478" s="108">
        <f t="shared" si="48"/>
        <v>47027</v>
      </c>
      <c r="R478" s="6" t="s">
        <v>875</v>
      </c>
      <c r="S478" s="6"/>
    </row>
    <row r="479" spans="1:19" x14ac:dyDescent="0.2">
      <c r="A479" s="126" t="s">
        <v>772</v>
      </c>
      <c r="P479" s="108" t="s">
        <v>141</v>
      </c>
      <c r="Q479" s="108">
        <f t="shared" si="48"/>
        <v>47058</v>
      </c>
      <c r="R479" s="6" t="s">
        <v>875</v>
      </c>
      <c r="S479" s="6"/>
    </row>
    <row r="480" spans="1:19" x14ac:dyDescent="0.2">
      <c r="A480" s="98" t="s">
        <v>315</v>
      </c>
      <c r="P480" s="108" t="s">
        <v>137</v>
      </c>
      <c r="Q480" s="108">
        <f t="shared" si="48"/>
        <v>47058</v>
      </c>
      <c r="R480" s="6" t="s">
        <v>875</v>
      </c>
      <c r="S480" s="6"/>
    </row>
    <row r="481" spans="1:19" x14ac:dyDescent="0.2">
      <c r="A481" s="98" t="s">
        <v>316</v>
      </c>
      <c r="P481" s="108" t="s">
        <v>13</v>
      </c>
      <c r="Q481" s="108">
        <f t="shared" si="48"/>
        <v>47058</v>
      </c>
      <c r="R481" s="6" t="s">
        <v>875</v>
      </c>
      <c r="S481" s="6"/>
    </row>
    <row r="482" spans="1:19" x14ac:dyDescent="0.2">
      <c r="A482" s="126" t="s">
        <v>929</v>
      </c>
      <c r="P482" s="108" t="s">
        <v>12</v>
      </c>
      <c r="Q482" s="108">
        <f t="shared" si="48"/>
        <v>47058</v>
      </c>
      <c r="R482" s="6" t="s">
        <v>875</v>
      </c>
      <c r="S482" s="6"/>
    </row>
    <row r="483" spans="1:19" x14ac:dyDescent="0.2">
      <c r="A483" s="126" t="s">
        <v>930</v>
      </c>
      <c r="P483" s="108" t="s">
        <v>142</v>
      </c>
      <c r="Q483" s="108">
        <f t="shared" si="48"/>
        <v>47058</v>
      </c>
      <c r="R483" s="6" t="s">
        <v>1128</v>
      </c>
      <c r="S483" s="6"/>
    </row>
    <row r="484" spans="1:19" x14ac:dyDescent="0.2">
      <c r="A484" s="98" t="s">
        <v>720</v>
      </c>
      <c r="P484" s="108" t="s">
        <v>147</v>
      </c>
      <c r="Q484" s="108">
        <f t="shared" si="48"/>
        <v>47088</v>
      </c>
      <c r="R484" s="6" t="s">
        <v>875</v>
      </c>
      <c r="S484" s="6"/>
    </row>
    <row r="485" spans="1:19" x14ac:dyDescent="0.2">
      <c r="A485" s="126" t="s">
        <v>773</v>
      </c>
      <c r="P485" s="108" t="s">
        <v>137</v>
      </c>
      <c r="Q485" s="108">
        <f t="shared" si="48"/>
        <v>47088</v>
      </c>
      <c r="R485" s="6" t="s">
        <v>875</v>
      </c>
      <c r="S485" s="6"/>
    </row>
    <row r="486" spans="1:19" x14ac:dyDescent="0.2">
      <c r="A486" s="126" t="s">
        <v>866</v>
      </c>
      <c r="P486" s="108" t="s">
        <v>13</v>
      </c>
      <c r="Q486" s="108">
        <f t="shared" si="48"/>
        <v>47088</v>
      </c>
      <c r="R486" s="6" t="s">
        <v>875</v>
      </c>
      <c r="S486" s="6"/>
    </row>
    <row r="487" spans="1:19" x14ac:dyDescent="0.2">
      <c r="A487" s="126" t="s">
        <v>931</v>
      </c>
      <c r="P487" s="108" t="s">
        <v>12</v>
      </c>
      <c r="Q487" s="108">
        <f t="shared" si="48"/>
        <v>47088</v>
      </c>
      <c r="R487" s="6" t="s">
        <v>875</v>
      </c>
      <c r="S487" s="6"/>
    </row>
    <row r="488" spans="1:19" x14ac:dyDescent="0.2">
      <c r="A488" s="98" t="s">
        <v>317</v>
      </c>
      <c r="P488" s="108" t="s">
        <v>143</v>
      </c>
      <c r="Q488" s="108">
        <f t="shared" si="48"/>
        <v>47088</v>
      </c>
      <c r="R488" s="6" t="s">
        <v>1128</v>
      </c>
      <c r="S488" s="6"/>
    </row>
    <row r="489" spans="1:19" x14ac:dyDescent="0.2">
      <c r="A489" s="126" t="s">
        <v>607</v>
      </c>
      <c r="P489" s="108" t="s">
        <v>137</v>
      </c>
      <c r="Q489" s="108">
        <f t="shared" si="48"/>
        <v>47119</v>
      </c>
      <c r="R489" s="6" t="s">
        <v>875</v>
      </c>
      <c r="S489" s="6"/>
    </row>
    <row r="490" spans="1:19" x14ac:dyDescent="0.2">
      <c r="A490" s="98" t="s">
        <v>440</v>
      </c>
      <c r="P490" s="108" t="s">
        <v>13</v>
      </c>
      <c r="Q490" s="108">
        <f t="shared" si="48"/>
        <v>47119</v>
      </c>
      <c r="R490" s="6" t="s">
        <v>875</v>
      </c>
      <c r="S490" s="6"/>
    </row>
    <row r="491" spans="1:19" x14ac:dyDescent="0.2">
      <c r="A491" s="126" t="s">
        <v>1038</v>
      </c>
      <c r="P491" s="108" t="s">
        <v>12</v>
      </c>
      <c r="Q491" s="108">
        <f t="shared" si="48"/>
        <v>47119</v>
      </c>
      <c r="R491" s="6" t="s">
        <v>875</v>
      </c>
      <c r="S491" s="6"/>
    </row>
    <row r="492" spans="1:19" x14ac:dyDescent="0.2">
      <c r="A492" s="98" t="s">
        <v>472</v>
      </c>
      <c r="P492" s="108" t="s">
        <v>14</v>
      </c>
      <c r="Q492" s="108">
        <f t="shared" si="48"/>
        <v>47119</v>
      </c>
      <c r="R492" s="6" t="s">
        <v>1128</v>
      </c>
      <c r="S492" s="6"/>
    </row>
    <row r="493" spans="1:19" x14ac:dyDescent="0.2">
      <c r="A493" s="98" t="s">
        <v>814</v>
      </c>
      <c r="P493" s="108" t="s">
        <v>131</v>
      </c>
      <c r="Q493" s="108">
        <f t="shared" si="48"/>
        <v>47119</v>
      </c>
      <c r="R493" s="6" t="s">
        <v>1128</v>
      </c>
      <c r="S493" s="6"/>
    </row>
    <row r="494" spans="1:19" x14ac:dyDescent="0.2">
      <c r="A494" s="98" t="s">
        <v>669</v>
      </c>
      <c r="P494" s="108" t="s">
        <v>144</v>
      </c>
      <c r="Q494" s="108">
        <f t="shared" si="48"/>
        <v>47150</v>
      </c>
      <c r="R494" s="6" t="s">
        <v>875</v>
      </c>
      <c r="S494" s="6"/>
    </row>
    <row r="495" spans="1:19" x14ac:dyDescent="0.2">
      <c r="A495" s="98" t="s">
        <v>932</v>
      </c>
      <c r="P495" s="108" t="s">
        <v>13</v>
      </c>
      <c r="Q495" s="108">
        <f t="shared" si="48"/>
        <v>47150</v>
      </c>
      <c r="R495" s="6" t="s">
        <v>875</v>
      </c>
      <c r="S495" s="6"/>
    </row>
    <row r="496" spans="1:19" x14ac:dyDescent="0.2">
      <c r="A496" s="98" t="s">
        <v>670</v>
      </c>
      <c r="P496" s="108" t="s">
        <v>12</v>
      </c>
      <c r="Q496" s="108">
        <f t="shared" si="48"/>
        <v>47150</v>
      </c>
      <c r="R496" s="6" t="s">
        <v>875</v>
      </c>
      <c r="S496" s="6"/>
    </row>
    <row r="497" spans="1:19" x14ac:dyDescent="0.2">
      <c r="A497" s="126" t="s">
        <v>774</v>
      </c>
      <c r="P497" s="108" t="s">
        <v>14</v>
      </c>
      <c r="Q497" s="108">
        <f t="shared" si="48"/>
        <v>47150</v>
      </c>
      <c r="R497" s="6" t="s">
        <v>1128</v>
      </c>
      <c r="S497" s="6"/>
    </row>
    <row r="498" spans="1:19" x14ac:dyDescent="0.2">
      <c r="A498" s="98" t="s">
        <v>318</v>
      </c>
      <c r="P498" s="108" t="s">
        <v>145</v>
      </c>
      <c r="Q498" s="108">
        <f t="shared" si="48"/>
        <v>47150</v>
      </c>
      <c r="R498" s="6" t="s">
        <v>1128</v>
      </c>
      <c r="S498" s="6"/>
    </row>
    <row r="499" spans="1:19" x14ac:dyDescent="0.2">
      <c r="A499" s="126" t="s">
        <v>748</v>
      </c>
      <c r="P499" s="108" t="s">
        <v>146</v>
      </c>
      <c r="Q499" s="108">
        <f t="shared" si="48"/>
        <v>47178</v>
      </c>
      <c r="R499" s="6" t="s">
        <v>875</v>
      </c>
      <c r="S499" s="6"/>
    </row>
    <row r="500" spans="1:19" x14ac:dyDescent="0.2">
      <c r="A500" s="126" t="s">
        <v>840</v>
      </c>
      <c r="P500" s="108" t="s">
        <v>13</v>
      </c>
      <c r="Q500" s="108">
        <f t="shared" si="48"/>
        <v>47178</v>
      </c>
      <c r="R500" s="6" t="s">
        <v>875</v>
      </c>
      <c r="S500" s="6"/>
    </row>
    <row r="501" spans="1:19" x14ac:dyDescent="0.2">
      <c r="A501" s="126" t="s">
        <v>933</v>
      </c>
      <c r="P501" s="108" t="s">
        <v>12</v>
      </c>
      <c r="Q501" s="108">
        <f t="shared" si="48"/>
        <v>47178</v>
      </c>
      <c r="R501" s="6" t="s">
        <v>875</v>
      </c>
      <c r="S501" s="6"/>
    </row>
    <row r="502" spans="1:19" x14ac:dyDescent="0.2">
      <c r="A502" s="98" t="s">
        <v>319</v>
      </c>
      <c r="P502" t="s">
        <v>14</v>
      </c>
      <c r="Q502" s="108">
        <f t="shared" si="48"/>
        <v>47178</v>
      </c>
      <c r="R502" s="6" t="s">
        <v>1128</v>
      </c>
      <c r="S502" s="6"/>
    </row>
    <row r="503" spans="1:19" x14ac:dyDescent="0.2">
      <c r="A503" s="98" t="s">
        <v>1284</v>
      </c>
      <c r="P503" t="s">
        <v>148</v>
      </c>
      <c r="Q503" s="108">
        <f t="shared" si="48"/>
        <v>47178</v>
      </c>
      <c r="R503" s="6" t="s">
        <v>1128</v>
      </c>
      <c r="S503" s="6"/>
    </row>
    <row r="504" spans="1:19" x14ac:dyDescent="0.2">
      <c r="A504" s="98" t="s">
        <v>775</v>
      </c>
      <c r="P504" t="s">
        <v>149</v>
      </c>
      <c r="Q504" s="108">
        <f t="shared" si="48"/>
        <v>47209</v>
      </c>
      <c r="R504" s="6" t="s">
        <v>875</v>
      </c>
      <c r="S504" s="6"/>
    </row>
    <row r="505" spans="1:19" x14ac:dyDescent="0.2">
      <c r="A505" s="98" t="s">
        <v>473</v>
      </c>
      <c r="P505" t="s">
        <v>13</v>
      </c>
      <c r="Q505" s="108">
        <f t="shared" si="48"/>
        <v>47209</v>
      </c>
      <c r="R505" s="6" t="s">
        <v>875</v>
      </c>
      <c r="S505" s="6"/>
    </row>
    <row r="506" spans="1:19" x14ac:dyDescent="0.2">
      <c r="A506" s="126" t="s">
        <v>867</v>
      </c>
      <c r="P506" t="s">
        <v>12</v>
      </c>
      <c r="Q506" s="108">
        <f t="shared" si="48"/>
        <v>47209</v>
      </c>
      <c r="R506" s="6" t="s">
        <v>875</v>
      </c>
      <c r="S506" s="6"/>
    </row>
    <row r="507" spans="1:19" x14ac:dyDescent="0.2">
      <c r="A507" s="98" t="s">
        <v>721</v>
      </c>
      <c r="P507" t="s">
        <v>14</v>
      </c>
      <c r="Q507" s="108">
        <f t="shared" si="48"/>
        <v>47209</v>
      </c>
      <c r="R507" s="6" t="s">
        <v>1128</v>
      </c>
      <c r="S507" s="6"/>
    </row>
    <row r="508" spans="1:19" x14ac:dyDescent="0.2">
      <c r="A508" s="126" t="s">
        <v>934</v>
      </c>
      <c r="P508" t="s">
        <v>150</v>
      </c>
      <c r="Q508" s="108">
        <f t="shared" si="48"/>
        <v>47209</v>
      </c>
      <c r="R508" s="6" t="s">
        <v>1128</v>
      </c>
      <c r="S508" s="6"/>
    </row>
    <row r="509" spans="1:19" x14ac:dyDescent="0.2">
      <c r="A509" s="126" t="s">
        <v>935</v>
      </c>
      <c r="P509" t="s">
        <v>151</v>
      </c>
      <c r="Q509" s="108">
        <f t="shared" si="48"/>
        <v>47239</v>
      </c>
      <c r="R509" s="6" t="s">
        <v>875</v>
      </c>
      <c r="S509" s="6"/>
    </row>
    <row r="510" spans="1:19" x14ac:dyDescent="0.2">
      <c r="A510" s="126" t="s">
        <v>936</v>
      </c>
      <c r="P510" t="s">
        <v>13</v>
      </c>
      <c r="Q510" s="108">
        <f t="shared" si="48"/>
        <v>47239</v>
      </c>
      <c r="R510" s="6" t="s">
        <v>875</v>
      </c>
      <c r="S510" s="6"/>
    </row>
    <row r="511" spans="1:19" x14ac:dyDescent="0.2">
      <c r="A511" s="98" t="s">
        <v>671</v>
      </c>
      <c r="P511" t="s">
        <v>12</v>
      </c>
      <c r="Q511" s="108">
        <f t="shared" si="48"/>
        <v>47239</v>
      </c>
      <c r="R511" s="6" t="s">
        <v>875</v>
      </c>
      <c r="S511" s="6"/>
    </row>
    <row r="512" spans="1:19" x14ac:dyDescent="0.2">
      <c r="A512" s="98" t="s">
        <v>320</v>
      </c>
      <c r="P512" s="6" t="s">
        <v>14</v>
      </c>
      <c r="Q512" s="108">
        <f t="shared" si="48"/>
        <v>47239</v>
      </c>
      <c r="R512" s="6" t="s">
        <v>1128</v>
      </c>
      <c r="S512" s="6"/>
    </row>
    <row r="513" spans="1:19" x14ac:dyDescent="0.2">
      <c r="A513" s="126" t="s">
        <v>1335</v>
      </c>
      <c r="P513" t="s">
        <v>152</v>
      </c>
      <c r="Q513" s="108">
        <f t="shared" si="48"/>
        <v>47239</v>
      </c>
      <c r="R513" s="6" t="s">
        <v>1128</v>
      </c>
      <c r="S513" s="6"/>
    </row>
    <row r="514" spans="1:19" x14ac:dyDescent="0.2">
      <c r="A514" s="98" t="s">
        <v>1285</v>
      </c>
      <c r="P514" t="s">
        <v>13</v>
      </c>
      <c r="Q514" s="108">
        <f t="shared" si="48"/>
        <v>47270</v>
      </c>
      <c r="R514" s="6" t="s">
        <v>875</v>
      </c>
      <c r="S514" s="6"/>
    </row>
    <row r="515" spans="1:19" x14ac:dyDescent="0.2">
      <c r="A515" s="98" t="s">
        <v>321</v>
      </c>
      <c r="P515" t="s">
        <v>12</v>
      </c>
      <c r="Q515" s="108">
        <f t="shared" si="48"/>
        <v>47270</v>
      </c>
      <c r="R515" s="6" t="s">
        <v>875</v>
      </c>
      <c r="S515" s="6"/>
    </row>
    <row r="516" spans="1:19" x14ac:dyDescent="0.2">
      <c r="A516" s="98" t="s">
        <v>833</v>
      </c>
      <c r="P516" t="s">
        <v>14</v>
      </c>
      <c r="Q516" s="108">
        <f t="shared" si="48"/>
        <v>47270</v>
      </c>
      <c r="R516" s="6" t="s">
        <v>1128</v>
      </c>
      <c r="S516" s="6"/>
    </row>
    <row r="517" spans="1:19" x14ac:dyDescent="0.2">
      <c r="A517" s="98" t="s">
        <v>322</v>
      </c>
      <c r="P517" t="s">
        <v>137</v>
      </c>
      <c r="Q517" s="108">
        <f t="shared" si="48"/>
        <v>47270</v>
      </c>
      <c r="R517" s="6" t="s">
        <v>1128</v>
      </c>
      <c r="S517" s="6"/>
    </row>
    <row r="518" spans="1:19" x14ac:dyDescent="0.2">
      <c r="A518" s="98" t="s">
        <v>323</v>
      </c>
      <c r="P518" t="s">
        <v>131</v>
      </c>
      <c r="Q518" s="108">
        <f t="shared" si="48"/>
        <v>47270</v>
      </c>
      <c r="R518" s="6" t="s">
        <v>1128</v>
      </c>
      <c r="S518" s="6"/>
    </row>
    <row r="519" spans="1:19" x14ac:dyDescent="0.2">
      <c r="A519" s="126" t="s">
        <v>868</v>
      </c>
      <c r="P519" s="108" t="s">
        <v>138</v>
      </c>
      <c r="Q519" s="108">
        <f t="shared" si="48"/>
        <v>47300</v>
      </c>
      <c r="R519" s="6" t="s">
        <v>875</v>
      </c>
      <c r="S519" s="6"/>
    </row>
    <row r="520" spans="1:19" x14ac:dyDescent="0.2">
      <c r="A520" s="126" t="s">
        <v>1039</v>
      </c>
      <c r="P520" s="108" t="s">
        <v>12</v>
      </c>
      <c r="Q520" s="108">
        <f t="shared" si="48"/>
        <v>47300</v>
      </c>
      <c r="R520" s="6" t="s">
        <v>875</v>
      </c>
      <c r="S520" s="6"/>
    </row>
    <row r="521" spans="1:19" x14ac:dyDescent="0.2">
      <c r="A521" s="98" t="s">
        <v>574</v>
      </c>
      <c r="P521" s="108" t="s">
        <v>14</v>
      </c>
      <c r="Q521" s="108">
        <f t="shared" si="48"/>
        <v>47300</v>
      </c>
      <c r="R521" s="6" t="s">
        <v>1128</v>
      </c>
      <c r="S521" s="6"/>
    </row>
    <row r="522" spans="1:19" x14ac:dyDescent="0.2">
      <c r="A522" s="126" t="s">
        <v>850</v>
      </c>
      <c r="P522" s="108" t="s">
        <v>137</v>
      </c>
      <c r="Q522" s="108">
        <f t="shared" si="48"/>
        <v>47300</v>
      </c>
      <c r="R522" s="6" t="s">
        <v>1128</v>
      </c>
      <c r="S522" s="6"/>
    </row>
    <row r="523" spans="1:19" x14ac:dyDescent="0.2">
      <c r="A523" s="98" t="s">
        <v>324</v>
      </c>
      <c r="P523" s="108" t="s">
        <v>204</v>
      </c>
      <c r="Q523" s="108">
        <v>47300</v>
      </c>
      <c r="R523" s="6" t="s">
        <v>1128</v>
      </c>
      <c r="S523" s="6"/>
    </row>
    <row r="524" spans="1:19" x14ac:dyDescent="0.2">
      <c r="A524" s="98" t="s">
        <v>1286</v>
      </c>
      <c r="P524" s="108" t="s">
        <v>139</v>
      </c>
      <c r="Q524" s="108">
        <v>47331</v>
      </c>
      <c r="R524" s="6" t="s">
        <v>875</v>
      </c>
    </row>
    <row r="525" spans="1:19" x14ac:dyDescent="0.2">
      <c r="A525" s="98" t="s">
        <v>325</v>
      </c>
      <c r="P525" s="108" t="s">
        <v>12</v>
      </c>
      <c r="Q525" s="108">
        <v>47331</v>
      </c>
      <c r="R525" s="6" t="s">
        <v>875</v>
      </c>
    </row>
    <row r="526" spans="1:19" x14ac:dyDescent="0.2">
      <c r="A526" s="98" t="s">
        <v>1239</v>
      </c>
      <c r="P526" s="108" t="s">
        <v>14</v>
      </c>
      <c r="Q526" s="108">
        <v>47331</v>
      </c>
      <c r="R526" s="6" t="s">
        <v>1128</v>
      </c>
    </row>
    <row r="527" spans="1:19" x14ac:dyDescent="0.2">
      <c r="A527" s="98" t="s">
        <v>815</v>
      </c>
      <c r="P527" s="108" t="s">
        <v>137</v>
      </c>
      <c r="Q527" s="108">
        <v>47331</v>
      </c>
      <c r="R527" s="6" t="s">
        <v>1128</v>
      </c>
    </row>
    <row r="528" spans="1:19" x14ac:dyDescent="0.2">
      <c r="A528" s="98" t="s">
        <v>826</v>
      </c>
      <c r="P528" s="108" t="s">
        <v>140</v>
      </c>
      <c r="Q528" s="108">
        <v>47331</v>
      </c>
      <c r="R528" s="6" t="s">
        <v>1128</v>
      </c>
    </row>
    <row r="529" spans="1:18" x14ac:dyDescent="0.2">
      <c r="A529" s="126" t="s">
        <v>937</v>
      </c>
      <c r="P529" s="108" t="s">
        <v>12</v>
      </c>
      <c r="Q529" s="108">
        <v>47362</v>
      </c>
      <c r="R529" s="6" t="s">
        <v>875</v>
      </c>
    </row>
    <row r="530" spans="1:18" x14ac:dyDescent="0.2">
      <c r="A530" s="98" t="s">
        <v>326</v>
      </c>
      <c r="P530" s="108" t="s">
        <v>14</v>
      </c>
      <c r="Q530" s="108">
        <v>47362</v>
      </c>
      <c r="R530" s="6" t="s">
        <v>1128</v>
      </c>
    </row>
    <row r="531" spans="1:18" x14ac:dyDescent="0.2">
      <c r="A531" s="126" t="s">
        <v>749</v>
      </c>
      <c r="P531" s="108" t="s">
        <v>137</v>
      </c>
      <c r="Q531" s="108">
        <v>47362</v>
      </c>
      <c r="R531" s="6" t="s">
        <v>1128</v>
      </c>
    </row>
    <row r="532" spans="1:18" x14ac:dyDescent="0.2">
      <c r="A532" s="98" t="s">
        <v>327</v>
      </c>
      <c r="P532" s="108" t="s">
        <v>13</v>
      </c>
      <c r="Q532" s="108">
        <v>47362</v>
      </c>
      <c r="R532" s="6" t="s">
        <v>1128</v>
      </c>
    </row>
    <row r="533" spans="1:18" x14ac:dyDescent="0.2">
      <c r="A533" s="98" t="s">
        <v>827</v>
      </c>
      <c r="P533" s="108" t="s">
        <v>131</v>
      </c>
      <c r="Q533" s="108">
        <v>47362</v>
      </c>
      <c r="R533" s="6" t="s">
        <v>1128</v>
      </c>
    </row>
    <row r="534" spans="1:18" x14ac:dyDescent="0.2">
      <c r="A534" s="98" t="s">
        <v>441</v>
      </c>
      <c r="P534" s="127" t="s">
        <v>14</v>
      </c>
      <c r="Q534" s="108">
        <v>47392</v>
      </c>
      <c r="R534" s="6" t="s">
        <v>1128</v>
      </c>
    </row>
    <row r="535" spans="1:18" x14ac:dyDescent="0.2">
      <c r="A535" s="98" t="s">
        <v>328</v>
      </c>
      <c r="P535" s="108" t="s">
        <v>137</v>
      </c>
      <c r="Q535" s="108">
        <v>47392</v>
      </c>
      <c r="R535" s="6" t="s">
        <v>1128</v>
      </c>
    </row>
    <row r="536" spans="1:18" x14ac:dyDescent="0.2">
      <c r="A536" s="98" t="s">
        <v>722</v>
      </c>
      <c r="P536" s="108" t="s">
        <v>13</v>
      </c>
      <c r="Q536" s="108">
        <v>47392</v>
      </c>
      <c r="R536" s="6" t="s">
        <v>1128</v>
      </c>
    </row>
    <row r="537" spans="1:18" x14ac:dyDescent="0.2">
      <c r="A537" s="98" t="s">
        <v>1240</v>
      </c>
      <c r="P537" s="108" t="s">
        <v>12</v>
      </c>
      <c r="Q537" s="108">
        <v>47392</v>
      </c>
      <c r="R537" s="6" t="s">
        <v>1128</v>
      </c>
    </row>
    <row r="538" spans="1:18" x14ac:dyDescent="0.2">
      <c r="A538" s="98" t="s">
        <v>828</v>
      </c>
      <c r="P538" s="108" t="s">
        <v>131</v>
      </c>
      <c r="Q538" s="108">
        <v>47392</v>
      </c>
      <c r="R538" s="6" t="s">
        <v>1128</v>
      </c>
    </row>
    <row r="539" spans="1:18" x14ac:dyDescent="0.2">
      <c r="A539" s="98" t="s">
        <v>1336</v>
      </c>
      <c r="P539" s="108" t="s">
        <v>141</v>
      </c>
      <c r="Q539" s="108">
        <v>47423</v>
      </c>
      <c r="R539" s="6" t="s">
        <v>1128</v>
      </c>
    </row>
    <row r="540" spans="1:18" x14ac:dyDescent="0.2">
      <c r="A540" s="98" t="s">
        <v>1241</v>
      </c>
      <c r="P540" s="108" t="s">
        <v>137</v>
      </c>
      <c r="Q540" s="108">
        <v>47423</v>
      </c>
      <c r="R540" s="6" t="s">
        <v>1128</v>
      </c>
    </row>
    <row r="541" spans="1:18" x14ac:dyDescent="0.2">
      <c r="A541" s="98" t="s">
        <v>329</v>
      </c>
      <c r="P541" s="108" t="s">
        <v>13</v>
      </c>
      <c r="Q541" s="108">
        <v>47423</v>
      </c>
      <c r="R541" s="6" t="s">
        <v>1128</v>
      </c>
    </row>
    <row r="542" spans="1:18" x14ac:dyDescent="0.2">
      <c r="A542" s="126" t="s">
        <v>938</v>
      </c>
      <c r="P542" s="108" t="s">
        <v>12</v>
      </c>
      <c r="Q542" s="108">
        <v>47423</v>
      </c>
      <c r="R542" s="6" t="s">
        <v>1128</v>
      </c>
    </row>
    <row r="543" spans="1:18" x14ac:dyDescent="0.2">
      <c r="A543" s="126" t="s">
        <v>1242</v>
      </c>
      <c r="P543" s="108" t="s">
        <v>142</v>
      </c>
      <c r="Q543" s="108">
        <v>47423</v>
      </c>
      <c r="R543" s="6" t="s">
        <v>1262</v>
      </c>
    </row>
    <row r="544" spans="1:18" x14ac:dyDescent="0.2">
      <c r="A544" s="126" t="s">
        <v>939</v>
      </c>
      <c r="P544" s="108" t="s">
        <v>147</v>
      </c>
      <c r="Q544" s="108">
        <v>47453</v>
      </c>
      <c r="R544" s="6" t="s">
        <v>1128</v>
      </c>
    </row>
    <row r="545" spans="1:18" x14ac:dyDescent="0.2">
      <c r="A545" s="98" t="s">
        <v>330</v>
      </c>
      <c r="P545" s="108" t="s">
        <v>137</v>
      </c>
      <c r="Q545" s="108">
        <v>47453</v>
      </c>
      <c r="R545" s="6" t="s">
        <v>1128</v>
      </c>
    </row>
    <row r="546" spans="1:18" x14ac:dyDescent="0.2">
      <c r="A546" s="98" t="s">
        <v>723</v>
      </c>
      <c r="P546" s="108" t="s">
        <v>13</v>
      </c>
      <c r="Q546" s="108">
        <v>47453</v>
      </c>
      <c r="R546" s="6" t="s">
        <v>1128</v>
      </c>
    </row>
    <row r="547" spans="1:18" x14ac:dyDescent="0.2">
      <c r="A547" s="98" t="s">
        <v>695</v>
      </c>
      <c r="P547" s="108" t="s">
        <v>12</v>
      </c>
      <c r="Q547" s="108">
        <v>47453</v>
      </c>
      <c r="R547" s="6" t="s">
        <v>1128</v>
      </c>
    </row>
    <row r="548" spans="1:18" x14ac:dyDescent="0.2">
      <c r="A548" s="126" t="s">
        <v>683</v>
      </c>
      <c r="P548" s="108" t="s">
        <v>143</v>
      </c>
      <c r="Q548" s="108">
        <v>47453</v>
      </c>
      <c r="R548" s="6" t="s">
        <v>1262</v>
      </c>
    </row>
    <row r="549" spans="1:18" x14ac:dyDescent="0.2">
      <c r="A549" s="126" t="s">
        <v>940</v>
      </c>
      <c r="P549" s="108" t="s">
        <v>137</v>
      </c>
      <c r="Q549" s="108">
        <v>47484</v>
      </c>
      <c r="R549" s="6" t="s">
        <v>1128</v>
      </c>
    </row>
    <row r="550" spans="1:18" x14ac:dyDescent="0.2">
      <c r="A550" s="98" t="s">
        <v>331</v>
      </c>
      <c r="P550" s="108" t="s">
        <v>13</v>
      </c>
      <c r="Q550" s="108">
        <v>47484</v>
      </c>
      <c r="R550" s="6" t="s">
        <v>1128</v>
      </c>
    </row>
    <row r="551" spans="1:18" x14ac:dyDescent="0.2">
      <c r="A551" s="98" t="s">
        <v>474</v>
      </c>
      <c r="P551" s="108" t="s">
        <v>12</v>
      </c>
      <c r="Q551" s="108">
        <v>47484</v>
      </c>
      <c r="R551" s="6" t="s">
        <v>1128</v>
      </c>
    </row>
    <row r="552" spans="1:18" x14ac:dyDescent="0.2">
      <c r="A552" s="126" t="s">
        <v>776</v>
      </c>
      <c r="P552" s="108" t="s">
        <v>14</v>
      </c>
      <c r="Q552" s="108">
        <v>47484</v>
      </c>
      <c r="R552" s="6" t="s">
        <v>1262</v>
      </c>
    </row>
    <row r="553" spans="1:18" x14ac:dyDescent="0.2">
      <c r="A553" s="98" t="s">
        <v>442</v>
      </c>
      <c r="P553" s="108" t="s">
        <v>131</v>
      </c>
      <c r="Q553" s="108">
        <v>47484</v>
      </c>
      <c r="R553" s="6" t="s">
        <v>1262</v>
      </c>
    </row>
    <row r="554" spans="1:18" x14ac:dyDescent="0.2">
      <c r="A554" s="126" t="s">
        <v>684</v>
      </c>
      <c r="P554" s="108" t="s">
        <v>144</v>
      </c>
      <c r="Q554" s="108">
        <v>47515</v>
      </c>
      <c r="R554" s="6" t="s">
        <v>1128</v>
      </c>
    </row>
    <row r="555" spans="1:18" x14ac:dyDescent="0.2">
      <c r="A555" s="126" t="s">
        <v>829</v>
      </c>
      <c r="P555" s="108" t="s">
        <v>13</v>
      </c>
      <c r="Q555" s="108">
        <v>47515</v>
      </c>
      <c r="R555" s="6" t="s">
        <v>1128</v>
      </c>
    </row>
    <row r="556" spans="1:18" x14ac:dyDescent="0.2">
      <c r="A556" s="126" t="s">
        <v>750</v>
      </c>
      <c r="P556" s="108" t="s">
        <v>12</v>
      </c>
      <c r="Q556" s="108">
        <v>47515</v>
      </c>
      <c r="R556" s="6" t="s">
        <v>1128</v>
      </c>
    </row>
    <row r="557" spans="1:18" x14ac:dyDescent="0.2">
      <c r="A557" s="126" t="s">
        <v>941</v>
      </c>
      <c r="P557" s="108" t="s">
        <v>14</v>
      </c>
      <c r="Q557" s="108">
        <v>47515</v>
      </c>
      <c r="R557" s="6" t="s">
        <v>1262</v>
      </c>
    </row>
    <row r="558" spans="1:18" x14ac:dyDescent="0.2">
      <c r="A558" s="126" t="s">
        <v>696</v>
      </c>
      <c r="P558" s="108" t="s">
        <v>145</v>
      </c>
      <c r="Q558" s="108">
        <v>47515</v>
      </c>
      <c r="R558" s="6" t="s">
        <v>1262</v>
      </c>
    </row>
    <row r="559" spans="1:18" x14ac:dyDescent="0.2">
      <c r="A559" s="126" t="s">
        <v>1287</v>
      </c>
      <c r="P559" s="108" t="s">
        <v>146</v>
      </c>
      <c r="Q559" s="108">
        <v>47543</v>
      </c>
      <c r="R559" s="6" t="s">
        <v>1128</v>
      </c>
    </row>
    <row r="560" spans="1:18" x14ac:dyDescent="0.2">
      <c r="A560" s="126" t="s">
        <v>777</v>
      </c>
      <c r="P560" s="108" t="s">
        <v>13</v>
      </c>
      <c r="Q560" s="108">
        <v>47543</v>
      </c>
      <c r="R560" s="6" t="s">
        <v>1128</v>
      </c>
    </row>
    <row r="561" spans="1:18" x14ac:dyDescent="0.2">
      <c r="A561" s="126" t="s">
        <v>942</v>
      </c>
      <c r="P561" s="108" t="s">
        <v>12</v>
      </c>
      <c r="Q561" s="108">
        <v>47543</v>
      </c>
      <c r="R561" s="6" t="s">
        <v>1128</v>
      </c>
    </row>
    <row r="562" spans="1:18" x14ac:dyDescent="0.2">
      <c r="A562" s="98" t="s">
        <v>575</v>
      </c>
      <c r="P562" t="s">
        <v>14</v>
      </c>
      <c r="Q562" s="108">
        <v>47543</v>
      </c>
      <c r="R562" s="6" t="s">
        <v>1262</v>
      </c>
    </row>
    <row r="563" spans="1:18" x14ac:dyDescent="0.2">
      <c r="A563" s="98" t="s">
        <v>332</v>
      </c>
      <c r="P563" t="s">
        <v>148</v>
      </c>
      <c r="Q563" s="108">
        <v>47543</v>
      </c>
      <c r="R563" s="6" t="s">
        <v>1262</v>
      </c>
    </row>
    <row r="564" spans="1:18" x14ac:dyDescent="0.2">
      <c r="A564" s="126" t="s">
        <v>943</v>
      </c>
      <c r="P564" t="s">
        <v>149</v>
      </c>
      <c r="Q564" s="108">
        <v>47574</v>
      </c>
      <c r="R564" s="6" t="s">
        <v>1128</v>
      </c>
    </row>
    <row r="565" spans="1:18" x14ac:dyDescent="0.2">
      <c r="A565" s="126" t="s">
        <v>1288</v>
      </c>
      <c r="P565" t="s">
        <v>13</v>
      </c>
      <c r="Q565" s="108">
        <v>47574</v>
      </c>
      <c r="R565" s="6" t="s">
        <v>1128</v>
      </c>
    </row>
    <row r="566" spans="1:18" x14ac:dyDescent="0.2">
      <c r="A566" s="126" t="s">
        <v>944</v>
      </c>
      <c r="P566" t="s">
        <v>12</v>
      </c>
      <c r="Q566" s="108">
        <v>47574</v>
      </c>
      <c r="R566" s="6" t="s">
        <v>1128</v>
      </c>
    </row>
    <row r="567" spans="1:18" x14ac:dyDescent="0.2">
      <c r="A567" s="98" t="s">
        <v>333</v>
      </c>
      <c r="P567" t="s">
        <v>14</v>
      </c>
      <c r="Q567" s="108">
        <v>47574</v>
      </c>
      <c r="R567" s="6" t="s">
        <v>1262</v>
      </c>
    </row>
    <row r="568" spans="1:18" x14ac:dyDescent="0.2">
      <c r="A568" s="98" t="s">
        <v>334</v>
      </c>
      <c r="P568" t="s">
        <v>150</v>
      </c>
      <c r="Q568" s="108">
        <v>47574</v>
      </c>
      <c r="R568" s="6" t="s">
        <v>1262</v>
      </c>
    </row>
    <row r="569" spans="1:18" x14ac:dyDescent="0.2">
      <c r="A569" s="98" t="s">
        <v>335</v>
      </c>
      <c r="P569" t="s">
        <v>151</v>
      </c>
      <c r="Q569" s="108">
        <v>47604</v>
      </c>
      <c r="R569" s="6" t="s">
        <v>1128</v>
      </c>
    </row>
    <row r="570" spans="1:18" x14ac:dyDescent="0.2">
      <c r="A570" s="98" t="s">
        <v>600</v>
      </c>
      <c r="P570" t="s">
        <v>13</v>
      </c>
      <c r="Q570" s="108">
        <v>47604</v>
      </c>
      <c r="R570" s="6" t="s">
        <v>1128</v>
      </c>
    </row>
    <row r="571" spans="1:18" x14ac:dyDescent="0.2">
      <c r="A571" s="98" t="s">
        <v>1289</v>
      </c>
      <c r="P571" t="s">
        <v>12</v>
      </c>
      <c r="Q571" s="108">
        <v>47604</v>
      </c>
      <c r="R571" s="6" t="s">
        <v>1128</v>
      </c>
    </row>
    <row r="572" spans="1:18" x14ac:dyDescent="0.2">
      <c r="A572" s="98" t="s">
        <v>336</v>
      </c>
      <c r="P572" s="6" t="s">
        <v>14</v>
      </c>
      <c r="Q572" s="108">
        <v>47604</v>
      </c>
      <c r="R572" s="6" t="s">
        <v>1262</v>
      </c>
    </row>
    <row r="573" spans="1:18" x14ac:dyDescent="0.2">
      <c r="A573" s="98" t="s">
        <v>443</v>
      </c>
      <c r="P573" t="s">
        <v>152</v>
      </c>
      <c r="Q573" s="108">
        <v>47604</v>
      </c>
      <c r="R573" s="6" t="s">
        <v>1262</v>
      </c>
    </row>
    <row r="574" spans="1:18" x14ac:dyDescent="0.2">
      <c r="A574" s="98" t="s">
        <v>672</v>
      </c>
      <c r="P574" t="s">
        <v>13</v>
      </c>
      <c r="Q574" s="108">
        <v>47635</v>
      </c>
      <c r="R574" s="6" t="s">
        <v>1128</v>
      </c>
    </row>
    <row r="575" spans="1:18" x14ac:dyDescent="0.2">
      <c r="A575" s="98" t="s">
        <v>673</v>
      </c>
      <c r="P575" t="s">
        <v>12</v>
      </c>
      <c r="Q575" s="108">
        <v>47635</v>
      </c>
      <c r="R575" s="6" t="s">
        <v>1128</v>
      </c>
    </row>
    <row r="576" spans="1:18" x14ac:dyDescent="0.2">
      <c r="A576" s="98" t="s">
        <v>337</v>
      </c>
      <c r="P576" t="s">
        <v>14</v>
      </c>
      <c r="Q576" s="108">
        <v>47635</v>
      </c>
      <c r="R576" s="6" t="s">
        <v>1262</v>
      </c>
    </row>
    <row r="577" spans="1:18" x14ac:dyDescent="0.2">
      <c r="A577" s="98" t="s">
        <v>338</v>
      </c>
      <c r="P577" t="s">
        <v>137</v>
      </c>
      <c r="Q577" s="108">
        <v>47635</v>
      </c>
      <c r="R577" s="6" t="s">
        <v>1262</v>
      </c>
    </row>
    <row r="578" spans="1:18" x14ac:dyDescent="0.2">
      <c r="A578" s="126" t="s">
        <v>1040</v>
      </c>
      <c r="P578" t="s">
        <v>131</v>
      </c>
      <c r="Q578" s="108">
        <v>47635</v>
      </c>
      <c r="R578" s="6" t="s">
        <v>1262</v>
      </c>
    </row>
    <row r="579" spans="1:18" x14ac:dyDescent="0.2">
      <c r="A579" s="126" t="s">
        <v>945</v>
      </c>
      <c r="P579" s="108" t="s">
        <v>138</v>
      </c>
      <c r="Q579" s="108">
        <v>47665</v>
      </c>
      <c r="R579" s="6" t="s">
        <v>1128</v>
      </c>
    </row>
    <row r="580" spans="1:18" x14ac:dyDescent="0.2">
      <c r="A580" s="98" t="s">
        <v>339</v>
      </c>
      <c r="P580" s="108" t="s">
        <v>12</v>
      </c>
      <c r="Q580" s="108">
        <v>47665</v>
      </c>
      <c r="R580" s="6" t="s">
        <v>1128</v>
      </c>
    </row>
    <row r="581" spans="1:18" x14ac:dyDescent="0.2">
      <c r="A581" s="98" t="s">
        <v>697</v>
      </c>
      <c r="P581" s="108" t="s">
        <v>14</v>
      </c>
      <c r="Q581" s="108">
        <v>47665</v>
      </c>
      <c r="R581" s="6" t="s">
        <v>1262</v>
      </c>
    </row>
    <row r="582" spans="1:18" x14ac:dyDescent="0.2">
      <c r="A582" s="98" t="s">
        <v>646</v>
      </c>
      <c r="P582" s="108" t="s">
        <v>137</v>
      </c>
      <c r="Q582" s="108">
        <v>47665</v>
      </c>
      <c r="R582" s="6" t="s">
        <v>1262</v>
      </c>
    </row>
    <row r="583" spans="1:18" x14ac:dyDescent="0.2">
      <c r="A583" s="98" t="s">
        <v>601</v>
      </c>
      <c r="P583" s="108" t="s">
        <v>204</v>
      </c>
      <c r="Q583" s="108">
        <v>47665</v>
      </c>
      <c r="R583" s="6" t="s">
        <v>1262</v>
      </c>
    </row>
    <row r="584" spans="1:18" x14ac:dyDescent="0.2">
      <c r="A584" s="126" t="s">
        <v>1054</v>
      </c>
      <c r="P584" s="108" t="s">
        <v>139</v>
      </c>
      <c r="Q584" s="108">
        <v>47696</v>
      </c>
      <c r="R584" s="6" t="s">
        <v>1128</v>
      </c>
    </row>
    <row r="585" spans="1:18" x14ac:dyDescent="0.2">
      <c r="A585" s="98" t="s">
        <v>340</v>
      </c>
      <c r="P585" s="108" t="s">
        <v>12</v>
      </c>
      <c r="Q585" s="108">
        <v>47696</v>
      </c>
      <c r="R585" s="6" t="s">
        <v>1128</v>
      </c>
    </row>
    <row r="586" spans="1:18" x14ac:dyDescent="0.2">
      <c r="A586" s="126" t="s">
        <v>946</v>
      </c>
      <c r="P586" s="108" t="s">
        <v>14</v>
      </c>
      <c r="Q586" s="108">
        <v>47696</v>
      </c>
      <c r="R586" s="6" t="s">
        <v>1262</v>
      </c>
    </row>
    <row r="587" spans="1:18" x14ac:dyDescent="0.2">
      <c r="A587" s="126" t="s">
        <v>947</v>
      </c>
      <c r="P587" s="108" t="s">
        <v>137</v>
      </c>
      <c r="Q587" s="108">
        <v>47696</v>
      </c>
      <c r="R587" s="6" t="s">
        <v>1262</v>
      </c>
    </row>
    <row r="588" spans="1:18" x14ac:dyDescent="0.2">
      <c r="A588" s="126" t="s">
        <v>948</v>
      </c>
      <c r="P588" s="108" t="s">
        <v>140</v>
      </c>
      <c r="Q588" s="108">
        <v>47696</v>
      </c>
      <c r="R588" s="6" t="s">
        <v>1262</v>
      </c>
    </row>
    <row r="589" spans="1:18" x14ac:dyDescent="0.2">
      <c r="A589" s="126" t="s">
        <v>1041</v>
      </c>
      <c r="P589" s="108" t="s">
        <v>12</v>
      </c>
      <c r="Q589" s="108">
        <v>47727</v>
      </c>
      <c r="R589" s="6" t="s">
        <v>1128</v>
      </c>
    </row>
    <row r="590" spans="1:18" x14ac:dyDescent="0.2">
      <c r="A590" s="98" t="s">
        <v>698</v>
      </c>
      <c r="P590" s="108" t="s">
        <v>14</v>
      </c>
      <c r="Q590" s="108">
        <v>47727</v>
      </c>
      <c r="R590" s="6" t="s">
        <v>1262</v>
      </c>
    </row>
    <row r="591" spans="1:18" x14ac:dyDescent="0.2">
      <c r="A591" s="98" t="s">
        <v>475</v>
      </c>
      <c r="P591" s="108" t="s">
        <v>137</v>
      </c>
      <c r="Q591" s="108">
        <v>47727</v>
      </c>
      <c r="R591" s="6" t="s">
        <v>1262</v>
      </c>
    </row>
    <row r="592" spans="1:18" x14ac:dyDescent="0.2">
      <c r="A592" s="126" t="s">
        <v>949</v>
      </c>
      <c r="P592" s="108" t="s">
        <v>13</v>
      </c>
      <c r="Q592" s="108">
        <v>47727</v>
      </c>
      <c r="R592" s="6" t="s">
        <v>1262</v>
      </c>
    </row>
    <row r="593" spans="1:18" x14ac:dyDescent="0.2">
      <c r="A593" s="126" t="s">
        <v>1243</v>
      </c>
      <c r="P593" s="108" t="s">
        <v>131</v>
      </c>
      <c r="Q593" s="108">
        <v>47727</v>
      </c>
      <c r="R593" s="6" t="s">
        <v>1262</v>
      </c>
    </row>
    <row r="594" spans="1:18" x14ac:dyDescent="0.2">
      <c r="A594" s="98" t="s">
        <v>341</v>
      </c>
      <c r="P594" s="127" t="s">
        <v>14</v>
      </c>
      <c r="Q594" s="108">
        <v>47757</v>
      </c>
      <c r="R594" s="6" t="s">
        <v>1262</v>
      </c>
    </row>
    <row r="595" spans="1:18" x14ac:dyDescent="0.2">
      <c r="A595" s="98" t="s">
        <v>816</v>
      </c>
      <c r="P595" s="108" t="s">
        <v>137</v>
      </c>
      <c r="Q595" s="108">
        <v>47757</v>
      </c>
      <c r="R595" s="6" t="s">
        <v>1262</v>
      </c>
    </row>
    <row r="596" spans="1:18" x14ac:dyDescent="0.2">
      <c r="A596" s="126" t="s">
        <v>950</v>
      </c>
      <c r="P596" s="108" t="s">
        <v>13</v>
      </c>
      <c r="Q596" s="108">
        <v>47757</v>
      </c>
      <c r="R596" s="6" t="s">
        <v>1262</v>
      </c>
    </row>
    <row r="597" spans="1:18" x14ac:dyDescent="0.2">
      <c r="A597" s="98" t="s">
        <v>444</v>
      </c>
      <c r="P597" s="108" t="s">
        <v>12</v>
      </c>
      <c r="Q597" s="108">
        <v>47757</v>
      </c>
      <c r="R597" s="6" t="s">
        <v>1262</v>
      </c>
    </row>
    <row r="598" spans="1:18" x14ac:dyDescent="0.2">
      <c r="A598" s="98" t="s">
        <v>521</v>
      </c>
      <c r="P598" s="108" t="s">
        <v>131</v>
      </c>
      <c r="Q598" s="108">
        <v>47757</v>
      </c>
      <c r="R598" s="6" t="s">
        <v>1262</v>
      </c>
    </row>
    <row r="599" spans="1:18" x14ac:dyDescent="0.2">
      <c r="A599" s="98" t="s">
        <v>724</v>
      </c>
      <c r="P599" s="108" t="s">
        <v>141</v>
      </c>
      <c r="Q599" s="108">
        <v>47788</v>
      </c>
      <c r="R599" s="6" t="s">
        <v>1262</v>
      </c>
    </row>
    <row r="600" spans="1:18" x14ac:dyDescent="0.2">
      <c r="A600" s="98" t="s">
        <v>1337</v>
      </c>
      <c r="P600" s="108" t="s">
        <v>137</v>
      </c>
      <c r="Q600" s="108">
        <v>47788</v>
      </c>
      <c r="R600" s="6" t="s">
        <v>1262</v>
      </c>
    </row>
    <row r="601" spans="1:18" x14ac:dyDescent="0.2">
      <c r="A601" s="98" t="s">
        <v>834</v>
      </c>
      <c r="P601" s="108" t="s">
        <v>13</v>
      </c>
      <c r="Q601" s="108">
        <v>47788</v>
      </c>
      <c r="R601" s="6" t="s">
        <v>1262</v>
      </c>
    </row>
    <row r="602" spans="1:18" x14ac:dyDescent="0.2">
      <c r="A602" s="98" t="s">
        <v>342</v>
      </c>
      <c r="P602" s="108" t="s">
        <v>12</v>
      </c>
      <c r="Q602" s="108">
        <v>47788</v>
      </c>
      <c r="R602" s="6" t="s">
        <v>1262</v>
      </c>
    </row>
    <row r="603" spans="1:18" x14ac:dyDescent="0.2">
      <c r="A603" s="98" t="s">
        <v>343</v>
      </c>
      <c r="P603" s="108" t="s">
        <v>142</v>
      </c>
      <c r="Q603" s="108">
        <v>47788</v>
      </c>
      <c r="R603" s="6" t="s">
        <v>1263</v>
      </c>
    </row>
    <row r="604" spans="1:18" x14ac:dyDescent="0.2">
      <c r="A604" s="98" t="s">
        <v>855</v>
      </c>
      <c r="P604" s="108" t="s">
        <v>147</v>
      </c>
      <c r="Q604" s="108">
        <v>47818</v>
      </c>
      <c r="R604" s="6" t="s">
        <v>1262</v>
      </c>
    </row>
    <row r="605" spans="1:18" x14ac:dyDescent="0.2">
      <c r="A605" s="98" t="s">
        <v>344</v>
      </c>
      <c r="P605" s="108" t="s">
        <v>137</v>
      </c>
      <c r="Q605" s="108">
        <v>47818</v>
      </c>
      <c r="R605" s="6" t="s">
        <v>1262</v>
      </c>
    </row>
    <row r="606" spans="1:18" x14ac:dyDescent="0.2">
      <c r="A606" s="98" t="s">
        <v>589</v>
      </c>
      <c r="P606" s="108" t="s">
        <v>13</v>
      </c>
      <c r="Q606" s="108">
        <v>47818</v>
      </c>
      <c r="R606" s="6" t="s">
        <v>1262</v>
      </c>
    </row>
    <row r="607" spans="1:18" x14ac:dyDescent="0.2">
      <c r="A607" s="98" t="s">
        <v>345</v>
      </c>
      <c r="P607" s="108" t="s">
        <v>12</v>
      </c>
      <c r="Q607" s="108">
        <v>47818</v>
      </c>
      <c r="R607" s="6" t="s">
        <v>1262</v>
      </c>
    </row>
    <row r="608" spans="1:18" x14ac:dyDescent="0.2">
      <c r="A608" s="126" t="s">
        <v>951</v>
      </c>
      <c r="P608" s="108" t="s">
        <v>143</v>
      </c>
      <c r="Q608" s="108">
        <v>47818</v>
      </c>
      <c r="R608" s="6" t="s">
        <v>1263</v>
      </c>
    </row>
    <row r="609" spans="1:18" x14ac:dyDescent="0.2">
      <c r="A609" s="126" t="s">
        <v>1338</v>
      </c>
      <c r="P609" s="108" t="s">
        <v>137</v>
      </c>
      <c r="Q609" s="108">
        <v>47849</v>
      </c>
      <c r="R609" s="6" t="s">
        <v>1262</v>
      </c>
    </row>
    <row r="610" spans="1:18" x14ac:dyDescent="0.2">
      <c r="A610" s="98" t="s">
        <v>445</v>
      </c>
      <c r="P610" s="108" t="s">
        <v>13</v>
      </c>
      <c r="Q610" s="108">
        <v>47849</v>
      </c>
      <c r="R610" s="6" t="s">
        <v>1262</v>
      </c>
    </row>
    <row r="611" spans="1:18" x14ac:dyDescent="0.2">
      <c r="A611" s="98" t="s">
        <v>346</v>
      </c>
      <c r="P611" s="108" t="s">
        <v>12</v>
      </c>
      <c r="Q611" s="108">
        <v>47849</v>
      </c>
      <c r="R611" s="6" t="s">
        <v>1262</v>
      </c>
    </row>
    <row r="612" spans="1:18" x14ac:dyDescent="0.2">
      <c r="A612" s="126" t="s">
        <v>952</v>
      </c>
      <c r="P612" s="108" t="s">
        <v>14</v>
      </c>
      <c r="Q612" s="108">
        <v>47849</v>
      </c>
      <c r="R612" s="6" t="s">
        <v>1262</v>
      </c>
    </row>
    <row r="613" spans="1:18" x14ac:dyDescent="0.2">
      <c r="A613" s="126" t="s">
        <v>1290</v>
      </c>
      <c r="P613" s="108" t="s">
        <v>131</v>
      </c>
      <c r="Q613" s="108">
        <v>47849</v>
      </c>
      <c r="R613" s="6" t="s">
        <v>1263</v>
      </c>
    </row>
    <row r="614" spans="1:18" x14ac:dyDescent="0.2">
      <c r="A614" s="98" t="s">
        <v>446</v>
      </c>
      <c r="P614" s="108" t="s">
        <v>144</v>
      </c>
      <c r="Q614" s="108">
        <v>47515</v>
      </c>
      <c r="R614" s="6" t="s">
        <v>1262</v>
      </c>
    </row>
    <row r="615" spans="1:18" x14ac:dyDescent="0.2">
      <c r="A615" s="98" t="s">
        <v>1339</v>
      </c>
      <c r="P615" s="108" t="s">
        <v>13</v>
      </c>
      <c r="Q615" s="108">
        <v>47515</v>
      </c>
      <c r="R615" s="6" t="s">
        <v>1262</v>
      </c>
    </row>
    <row r="616" spans="1:18" x14ac:dyDescent="0.2">
      <c r="A616" s="98" t="s">
        <v>604</v>
      </c>
      <c r="P616" s="108" t="s">
        <v>12</v>
      </c>
      <c r="Q616" s="108">
        <v>47515</v>
      </c>
      <c r="R616" s="6" t="s">
        <v>1262</v>
      </c>
    </row>
    <row r="617" spans="1:18" x14ac:dyDescent="0.2">
      <c r="A617" s="98" t="s">
        <v>953</v>
      </c>
      <c r="P617" s="108" t="s">
        <v>14</v>
      </c>
      <c r="Q617" s="108">
        <v>47515</v>
      </c>
      <c r="R617" s="6" t="s">
        <v>1263</v>
      </c>
    </row>
    <row r="618" spans="1:18" x14ac:dyDescent="0.2">
      <c r="A618" s="126" t="s">
        <v>685</v>
      </c>
      <c r="P618" s="108" t="s">
        <v>145</v>
      </c>
      <c r="Q618" s="108">
        <v>47515</v>
      </c>
      <c r="R618" s="6" t="s">
        <v>1263</v>
      </c>
    </row>
    <row r="619" spans="1:18" x14ac:dyDescent="0.2">
      <c r="A619" s="126" t="s">
        <v>751</v>
      </c>
      <c r="P619" s="108" t="s">
        <v>146</v>
      </c>
      <c r="Q619" s="108">
        <v>47543</v>
      </c>
      <c r="R619" s="6" t="s">
        <v>1262</v>
      </c>
    </row>
    <row r="620" spans="1:18" x14ac:dyDescent="0.2">
      <c r="A620" s="126" t="s">
        <v>1291</v>
      </c>
      <c r="P620" s="108" t="s">
        <v>13</v>
      </c>
      <c r="Q620" s="108">
        <v>47543</v>
      </c>
      <c r="R620" s="6" t="s">
        <v>1262</v>
      </c>
    </row>
    <row r="621" spans="1:18" x14ac:dyDescent="0.2">
      <c r="A621" s="126" t="s">
        <v>954</v>
      </c>
      <c r="P621" s="108" t="s">
        <v>12</v>
      </c>
      <c r="Q621" s="108">
        <v>47543</v>
      </c>
      <c r="R621" s="6" t="s">
        <v>1262</v>
      </c>
    </row>
    <row r="622" spans="1:18" x14ac:dyDescent="0.2">
      <c r="A622" s="98" t="s">
        <v>347</v>
      </c>
      <c r="P622" t="s">
        <v>14</v>
      </c>
      <c r="Q622" s="108">
        <v>47543</v>
      </c>
      <c r="R622" s="6" t="s">
        <v>1263</v>
      </c>
    </row>
    <row r="623" spans="1:18" x14ac:dyDescent="0.2">
      <c r="A623" s="98" t="s">
        <v>674</v>
      </c>
      <c r="P623" t="s">
        <v>148</v>
      </c>
      <c r="Q623" s="108">
        <v>47543</v>
      </c>
      <c r="R623" s="6" t="s">
        <v>1263</v>
      </c>
    </row>
    <row r="624" spans="1:18" x14ac:dyDescent="0.2">
      <c r="A624" s="98" t="s">
        <v>955</v>
      </c>
      <c r="P624" t="s">
        <v>149</v>
      </c>
      <c r="Q624" s="108">
        <v>47574</v>
      </c>
      <c r="R624" s="6" t="s">
        <v>1262</v>
      </c>
    </row>
    <row r="625" spans="1:18" x14ac:dyDescent="0.2">
      <c r="A625" s="98" t="s">
        <v>1292</v>
      </c>
      <c r="P625" t="s">
        <v>13</v>
      </c>
      <c r="Q625" s="108">
        <v>47574</v>
      </c>
      <c r="R625" s="6" t="s">
        <v>1262</v>
      </c>
    </row>
    <row r="626" spans="1:18" x14ac:dyDescent="0.2">
      <c r="A626" s="126" t="s">
        <v>752</v>
      </c>
      <c r="P626" t="s">
        <v>12</v>
      </c>
      <c r="Q626" s="108">
        <v>47574</v>
      </c>
      <c r="R626" s="6" t="s">
        <v>1262</v>
      </c>
    </row>
    <row r="627" spans="1:18" x14ac:dyDescent="0.2">
      <c r="A627" s="98" t="s">
        <v>540</v>
      </c>
      <c r="P627" t="s">
        <v>14</v>
      </c>
      <c r="Q627" s="108">
        <v>47574</v>
      </c>
      <c r="R627" s="6" t="s">
        <v>1263</v>
      </c>
    </row>
    <row r="628" spans="1:18" x14ac:dyDescent="0.2">
      <c r="A628" s="126" t="s">
        <v>1340</v>
      </c>
      <c r="P628" t="s">
        <v>150</v>
      </c>
      <c r="Q628" s="108">
        <v>47574</v>
      </c>
      <c r="R628" s="6" t="s">
        <v>1263</v>
      </c>
    </row>
    <row r="629" spans="1:18" x14ac:dyDescent="0.2">
      <c r="A629" s="98" t="s">
        <v>778</v>
      </c>
      <c r="P629" t="s">
        <v>151</v>
      </c>
      <c r="Q629" s="108">
        <v>47604</v>
      </c>
      <c r="R629" s="6" t="s">
        <v>1262</v>
      </c>
    </row>
    <row r="630" spans="1:18" x14ac:dyDescent="0.2">
      <c r="A630" s="126" t="s">
        <v>1341</v>
      </c>
      <c r="P630" t="s">
        <v>13</v>
      </c>
      <c r="Q630" s="108">
        <v>47604</v>
      </c>
      <c r="R630" s="6" t="s">
        <v>1262</v>
      </c>
    </row>
    <row r="631" spans="1:18" x14ac:dyDescent="0.2">
      <c r="A631" s="98" t="s">
        <v>576</v>
      </c>
      <c r="P631" t="s">
        <v>12</v>
      </c>
      <c r="Q631" s="108">
        <v>47604</v>
      </c>
      <c r="R631" s="6" t="s">
        <v>1262</v>
      </c>
    </row>
    <row r="632" spans="1:18" x14ac:dyDescent="0.2">
      <c r="A632" s="126" t="s">
        <v>956</v>
      </c>
      <c r="P632" s="6" t="s">
        <v>14</v>
      </c>
      <c r="Q632" s="108">
        <v>47604</v>
      </c>
      <c r="R632" s="6" t="s">
        <v>1263</v>
      </c>
    </row>
    <row r="633" spans="1:18" x14ac:dyDescent="0.2">
      <c r="A633" s="98" t="s">
        <v>447</v>
      </c>
      <c r="P633" t="s">
        <v>152</v>
      </c>
      <c r="Q633" s="108">
        <v>47604</v>
      </c>
      <c r="R633" s="6" t="s">
        <v>1263</v>
      </c>
    </row>
    <row r="634" spans="1:18" x14ac:dyDescent="0.2">
      <c r="A634" s="126" t="s">
        <v>686</v>
      </c>
      <c r="P634" t="s">
        <v>13</v>
      </c>
      <c r="Q634" s="108">
        <v>47635</v>
      </c>
      <c r="R634" s="6" t="s">
        <v>1262</v>
      </c>
    </row>
    <row r="635" spans="1:18" x14ac:dyDescent="0.2">
      <c r="A635" s="98" t="s">
        <v>348</v>
      </c>
      <c r="P635" t="s">
        <v>12</v>
      </c>
      <c r="Q635" s="108">
        <v>47635</v>
      </c>
      <c r="R635" s="6" t="s">
        <v>1262</v>
      </c>
    </row>
    <row r="636" spans="1:18" x14ac:dyDescent="0.2">
      <c r="A636" s="98" t="s">
        <v>349</v>
      </c>
      <c r="P636" t="s">
        <v>14</v>
      </c>
      <c r="Q636" s="108">
        <v>47635</v>
      </c>
      <c r="R636" s="6" t="s">
        <v>1263</v>
      </c>
    </row>
    <row r="637" spans="1:18" x14ac:dyDescent="0.2">
      <c r="A637" s="126" t="s">
        <v>957</v>
      </c>
      <c r="P637" t="s">
        <v>137</v>
      </c>
      <c r="Q637" s="108">
        <v>47635</v>
      </c>
      <c r="R637" s="6" t="s">
        <v>1263</v>
      </c>
    </row>
    <row r="638" spans="1:18" x14ac:dyDescent="0.2">
      <c r="A638" s="98" t="s">
        <v>350</v>
      </c>
      <c r="P638" t="s">
        <v>131</v>
      </c>
      <c r="Q638" s="108">
        <v>47635</v>
      </c>
      <c r="R638" s="6" t="s">
        <v>1263</v>
      </c>
    </row>
    <row r="639" spans="1:18" x14ac:dyDescent="0.2">
      <c r="A639" s="126" t="s">
        <v>958</v>
      </c>
      <c r="P639" s="108" t="s">
        <v>138</v>
      </c>
      <c r="Q639" s="108">
        <v>47665</v>
      </c>
      <c r="R639" s="6" t="s">
        <v>1262</v>
      </c>
    </row>
    <row r="640" spans="1:18" x14ac:dyDescent="0.2">
      <c r="A640" s="98" t="s">
        <v>675</v>
      </c>
      <c r="P640" s="108" t="s">
        <v>12</v>
      </c>
      <c r="Q640" s="108">
        <v>47665</v>
      </c>
      <c r="R640" s="6" t="s">
        <v>1262</v>
      </c>
    </row>
    <row r="641" spans="1:18" x14ac:dyDescent="0.2">
      <c r="A641" s="98" t="s">
        <v>448</v>
      </c>
      <c r="P641" s="108" t="s">
        <v>14</v>
      </c>
      <c r="Q641" s="108">
        <v>47665</v>
      </c>
      <c r="R641" s="6" t="s">
        <v>1263</v>
      </c>
    </row>
    <row r="642" spans="1:18" x14ac:dyDescent="0.2">
      <c r="A642" s="98" t="s">
        <v>351</v>
      </c>
      <c r="P642" s="108" t="s">
        <v>137</v>
      </c>
      <c r="Q642" s="108">
        <v>47665</v>
      </c>
      <c r="R642" s="6" t="s">
        <v>1263</v>
      </c>
    </row>
    <row r="643" spans="1:18" x14ac:dyDescent="0.2">
      <c r="A643" s="98" t="s">
        <v>352</v>
      </c>
      <c r="P643" s="108" t="s">
        <v>204</v>
      </c>
      <c r="Q643" s="108">
        <v>47665</v>
      </c>
      <c r="R643" s="6" t="s">
        <v>1263</v>
      </c>
    </row>
    <row r="644" spans="1:18" x14ac:dyDescent="0.2">
      <c r="A644" s="98" t="s">
        <v>449</v>
      </c>
      <c r="P644" s="108" t="s">
        <v>139</v>
      </c>
      <c r="Q644" s="108">
        <v>47696</v>
      </c>
      <c r="R644" s="6" t="s">
        <v>1262</v>
      </c>
    </row>
    <row r="645" spans="1:18" x14ac:dyDescent="0.2">
      <c r="A645" s="98" t="s">
        <v>522</v>
      </c>
      <c r="P645" s="108" t="s">
        <v>12</v>
      </c>
      <c r="Q645" s="108">
        <v>47696</v>
      </c>
      <c r="R645" s="6" t="s">
        <v>1262</v>
      </c>
    </row>
    <row r="646" spans="1:18" x14ac:dyDescent="0.2">
      <c r="A646" s="98" t="s">
        <v>725</v>
      </c>
      <c r="P646" s="108" t="s">
        <v>14</v>
      </c>
      <c r="Q646" s="108">
        <v>47696</v>
      </c>
      <c r="R646" s="6" t="s">
        <v>1263</v>
      </c>
    </row>
    <row r="647" spans="1:18" x14ac:dyDescent="0.2">
      <c r="A647" s="126" t="s">
        <v>959</v>
      </c>
      <c r="P647" s="108" t="s">
        <v>137</v>
      </c>
      <c r="Q647" s="108">
        <v>47696</v>
      </c>
      <c r="R647" s="6" t="s">
        <v>1263</v>
      </c>
    </row>
    <row r="648" spans="1:18" x14ac:dyDescent="0.2">
      <c r="A648" s="126" t="s">
        <v>608</v>
      </c>
      <c r="P648" s="108" t="s">
        <v>140</v>
      </c>
      <c r="Q648" s="108">
        <v>47696</v>
      </c>
      <c r="R648" s="6" t="s">
        <v>1263</v>
      </c>
    </row>
    <row r="649" spans="1:18" x14ac:dyDescent="0.2">
      <c r="A649" s="98" t="s">
        <v>590</v>
      </c>
      <c r="P649" s="108" t="s">
        <v>12</v>
      </c>
      <c r="Q649" s="108">
        <v>47727</v>
      </c>
      <c r="R649" s="6" t="s">
        <v>1262</v>
      </c>
    </row>
    <row r="650" spans="1:18" x14ac:dyDescent="0.2">
      <c r="A650" s="98" t="s">
        <v>476</v>
      </c>
      <c r="P650" s="108" t="s">
        <v>14</v>
      </c>
      <c r="Q650" s="108">
        <v>47727</v>
      </c>
      <c r="R650" s="6" t="s">
        <v>1263</v>
      </c>
    </row>
    <row r="651" spans="1:18" x14ac:dyDescent="0.2">
      <c r="A651" s="126" t="s">
        <v>960</v>
      </c>
      <c r="P651" s="108" t="s">
        <v>137</v>
      </c>
      <c r="Q651" s="108">
        <v>47727</v>
      </c>
      <c r="R651" s="6" t="s">
        <v>1263</v>
      </c>
    </row>
    <row r="652" spans="1:18" x14ac:dyDescent="0.2">
      <c r="A652" s="98" t="s">
        <v>663</v>
      </c>
      <c r="P652" s="108" t="s">
        <v>13</v>
      </c>
      <c r="Q652" s="108">
        <v>47727</v>
      </c>
      <c r="R652" s="6" t="s">
        <v>1263</v>
      </c>
    </row>
    <row r="653" spans="1:18" x14ac:dyDescent="0.2">
      <c r="A653" s="126" t="s">
        <v>961</v>
      </c>
      <c r="P653" s="108" t="s">
        <v>131</v>
      </c>
      <c r="Q653" s="108">
        <v>47727</v>
      </c>
      <c r="R653" s="6" t="s">
        <v>1263</v>
      </c>
    </row>
    <row r="654" spans="1:18" x14ac:dyDescent="0.2">
      <c r="A654" s="126" t="s">
        <v>1042</v>
      </c>
      <c r="P654" s="127" t="s">
        <v>14</v>
      </c>
      <c r="Q654" s="108">
        <v>47757</v>
      </c>
      <c r="R654" s="6" t="s">
        <v>1263</v>
      </c>
    </row>
    <row r="655" spans="1:18" x14ac:dyDescent="0.2">
      <c r="A655" s="126" t="s">
        <v>962</v>
      </c>
      <c r="P655" s="108" t="s">
        <v>137</v>
      </c>
      <c r="Q655" s="108">
        <v>47757</v>
      </c>
      <c r="R655" s="6" t="s">
        <v>1263</v>
      </c>
    </row>
    <row r="656" spans="1:18" x14ac:dyDescent="0.2">
      <c r="A656" s="98" t="s">
        <v>779</v>
      </c>
      <c r="P656" s="108" t="s">
        <v>13</v>
      </c>
      <c r="Q656" s="108">
        <v>47757</v>
      </c>
      <c r="R656" s="6" t="s">
        <v>1263</v>
      </c>
    </row>
    <row r="657" spans="1:18" x14ac:dyDescent="0.2">
      <c r="A657" s="98" t="s">
        <v>353</v>
      </c>
      <c r="P657" s="108" t="s">
        <v>12</v>
      </c>
      <c r="Q657" s="108">
        <v>47757</v>
      </c>
      <c r="R657" s="6" t="s">
        <v>1263</v>
      </c>
    </row>
    <row r="658" spans="1:18" x14ac:dyDescent="0.2">
      <c r="A658" s="98" t="s">
        <v>676</v>
      </c>
      <c r="P658" s="108" t="s">
        <v>131</v>
      </c>
      <c r="Q658" s="108">
        <v>47757</v>
      </c>
      <c r="R658" s="6" t="s">
        <v>1263</v>
      </c>
    </row>
    <row r="659" spans="1:18" x14ac:dyDescent="0.2">
      <c r="A659" s="98" t="s">
        <v>577</v>
      </c>
      <c r="P659" s="108" t="s">
        <v>141</v>
      </c>
      <c r="Q659" s="108">
        <v>47788</v>
      </c>
      <c r="R659" s="6" t="s">
        <v>1263</v>
      </c>
    </row>
    <row r="660" spans="1:18" x14ac:dyDescent="0.2">
      <c r="A660" s="98" t="s">
        <v>354</v>
      </c>
      <c r="P660" s="108" t="s">
        <v>137</v>
      </c>
      <c r="Q660" s="108">
        <v>47788</v>
      </c>
      <c r="R660" s="6" t="s">
        <v>1263</v>
      </c>
    </row>
    <row r="661" spans="1:18" x14ac:dyDescent="0.2">
      <c r="A661" s="126" t="s">
        <v>963</v>
      </c>
      <c r="P661" s="108" t="s">
        <v>13</v>
      </c>
      <c r="Q661" s="108">
        <v>47788</v>
      </c>
      <c r="R661" s="6" t="s">
        <v>1263</v>
      </c>
    </row>
    <row r="662" spans="1:18" x14ac:dyDescent="0.2">
      <c r="A662" s="98" t="s">
        <v>355</v>
      </c>
      <c r="P662" s="108" t="s">
        <v>12</v>
      </c>
      <c r="Q662" s="108">
        <v>47788</v>
      </c>
      <c r="R662" s="6" t="s">
        <v>1263</v>
      </c>
    </row>
    <row r="663" spans="1:18" x14ac:dyDescent="0.2">
      <c r="A663" s="98" t="s">
        <v>356</v>
      </c>
      <c r="P663" s="108" t="s">
        <v>142</v>
      </c>
      <c r="Q663" s="108">
        <v>47788</v>
      </c>
      <c r="R663" s="6" t="s">
        <v>1359</v>
      </c>
    </row>
    <row r="664" spans="1:18" x14ac:dyDescent="0.2">
      <c r="A664" s="98" t="s">
        <v>964</v>
      </c>
      <c r="P664" s="108" t="s">
        <v>147</v>
      </c>
      <c r="Q664" s="108">
        <v>47818</v>
      </c>
      <c r="R664" s="6" t="s">
        <v>1263</v>
      </c>
    </row>
    <row r="665" spans="1:18" x14ac:dyDescent="0.2">
      <c r="A665" s="126" t="s">
        <v>965</v>
      </c>
      <c r="P665" s="108" t="s">
        <v>137</v>
      </c>
      <c r="Q665" s="108">
        <v>47818</v>
      </c>
      <c r="R665" s="6" t="s">
        <v>1263</v>
      </c>
    </row>
    <row r="666" spans="1:18" x14ac:dyDescent="0.2">
      <c r="A666" s="126" t="s">
        <v>1342</v>
      </c>
      <c r="P666" s="108" t="s">
        <v>13</v>
      </c>
      <c r="Q666" s="108">
        <v>47818</v>
      </c>
      <c r="R666" s="6" t="s">
        <v>1263</v>
      </c>
    </row>
    <row r="667" spans="1:18" x14ac:dyDescent="0.2">
      <c r="A667" s="98" t="s">
        <v>780</v>
      </c>
      <c r="P667" s="108" t="s">
        <v>12</v>
      </c>
      <c r="Q667" s="108">
        <v>47818</v>
      </c>
      <c r="R667" s="6" t="s">
        <v>1263</v>
      </c>
    </row>
    <row r="668" spans="1:18" x14ac:dyDescent="0.2">
      <c r="A668" s="98" t="s">
        <v>1343</v>
      </c>
      <c r="P668" s="108" t="s">
        <v>143</v>
      </c>
      <c r="Q668" s="108">
        <v>47818</v>
      </c>
      <c r="R668" s="6" t="s">
        <v>1359</v>
      </c>
    </row>
    <row r="669" spans="1:18" x14ac:dyDescent="0.2">
      <c r="A669" s="98" t="s">
        <v>357</v>
      </c>
    </row>
    <row r="670" spans="1:18" x14ac:dyDescent="0.2">
      <c r="A670" s="98" t="s">
        <v>523</v>
      </c>
    </row>
    <row r="671" spans="1:18" x14ac:dyDescent="0.2">
      <c r="A671" s="126" t="s">
        <v>966</v>
      </c>
    </row>
    <row r="672" spans="1:18" x14ac:dyDescent="0.2">
      <c r="A672" s="126" t="s">
        <v>1043</v>
      </c>
    </row>
    <row r="673" spans="1:1" x14ac:dyDescent="0.2">
      <c r="A673" s="126" t="s">
        <v>753</v>
      </c>
    </row>
    <row r="674" spans="1:1" x14ac:dyDescent="0.2">
      <c r="A674" s="126" t="s">
        <v>967</v>
      </c>
    </row>
    <row r="675" spans="1:1" x14ac:dyDescent="0.2">
      <c r="A675" s="126" t="s">
        <v>869</v>
      </c>
    </row>
    <row r="676" spans="1:1" x14ac:dyDescent="0.2">
      <c r="A676" s="126" t="s">
        <v>1293</v>
      </c>
    </row>
    <row r="677" spans="1:1" x14ac:dyDescent="0.2">
      <c r="A677" s="98" t="s">
        <v>358</v>
      </c>
    </row>
    <row r="678" spans="1:1" x14ac:dyDescent="0.2">
      <c r="A678" s="126" t="s">
        <v>968</v>
      </c>
    </row>
    <row r="679" spans="1:1" x14ac:dyDescent="0.2">
      <c r="A679" s="98" t="s">
        <v>677</v>
      </c>
    </row>
    <row r="680" spans="1:1" x14ac:dyDescent="0.2">
      <c r="A680" s="126" t="s">
        <v>969</v>
      </c>
    </row>
    <row r="681" spans="1:1" x14ac:dyDescent="0.2">
      <c r="A681" s="98" t="s">
        <v>359</v>
      </c>
    </row>
    <row r="682" spans="1:1" x14ac:dyDescent="0.2">
      <c r="A682" s="98" t="s">
        <v>856</v>
      </c>
    </row>
    <row r="683" spans="1:1" x14ac:dyDescent="0.2">
      <c r="A683" s="98" t="s">
        <v>360</v>
      </c>
    </row>
    <row r="684" spans="1:1" x14ac:dyDescent="0.2">
      <c r="A684" s="98" t="s">
        <v>450</v>
      </c>
    </row>
    <row r="685" spans="1:1" x14ac:dyDescent="0.2">
      <c r="A685" s="98" t="s">
        <v>451</v>
      </c>
    </row>
    <row r="686" spans="1:1" x14ac:dyDescent="0.2">
      <c r="A686" s="98" t="s">
        <v>647</v>
      </c>
    </row>
    <row r="687" spans="1:1" x14ac:dyDescent="0.2">
      <c r="A687" s="98" t="s">
        <v>361</v>
      </c>
    </row>
    <row r="688" spans="1:1" x14ac:dyDescent="0.2">
      <c r="A688" s="98" t="s">
        <v>578</v>
      </c>
    </row>
    <row r="689" spans="1:1" x14ac:dyDescent="0.2">
      <c r="A689" s="126" t="s">
        <v>781</v>
      </c>
    </row>
    <row r="690" spans="1:1" x14ac:dyDescent="0.2">
      <c r="A690" s="126" t="s">
        <v>970</v>
      </c>
    </row>
    <row r="691" spans="1:1" x14ac:dyDescent="0.2">
      <c r="A691" s="98" t="s">
        <v>362</v>
      </c>
    </row>
    <row r="692" spans="1:1" x14ac:dyDescent="0.2">
      <c r="A692" s="98" t="s">
        <v>524</v>
      </c>
    </row>
    <row r="693" spans="1:1" x14ac:dyDescent="0.2">
      <c r="A693" s="98" t="s">
        <v>452</v>
      </c>
    </row>
    <row r="694" spans="1:1" x14ac:dyDescent="0.2">
      <c r="A694" s="126" t="s">
        <v>971</v>
      </c>
    </row>
    <row r="695" spans="1:1" x14ac:dyDescent="0.2">
      <c r="A695" s="126" t="s">
        <v>972</v>
      </c>
    </row>
    <row r="696" spans="1:1" x14ac:dyDescent="0.2">
      <c r="A696" s="126" t="s">
        <v>754</v>
      </c>
    </row>
    <row r="697" spans="1:1" x14ac:dyDescent="0.2">
      <c r="A697" s="126" t="s">
        <v>973</v>
      </c>
    </row>
    <row r="698" spans="1:1" x14ac:dyDescent="0.2">
      <c r="A698" s="98" t="s">
        <v>511</v>
      </c>
    </row>
    <row r="699" spans="1:1" x14ac:dyDescent="0.2">
      <c r="A699" s="98" t="s">
        <v>841</v>
      </c>
    </row>
    <row r="700" spans="1:1" x14ac:dyDescent="0.2">
      <c r="A700" s="98" t="s">
        <v>363</v>
      </c>
    </row>
    <row r="701" spans="1:1" x14ac:dyDescent="0.2">
      <c r="A701" s="98" t="s">
        <v>639</v>
      </c>
    </row>
    <row r="702" spans="1:1" x14ac:dyDescent="0.2">
      <c r="A702" s="126" t="s">
        <v>870</v>
      </c>
    </row>
    <row r="703" spans="1:1" x14ac:dyDescent="0.2">
      <c r="A703" s="126" t="s">
        <v>1044</v>
      </c>
    </row>
    <row r="704" spans="1:1" x14ac:dyDescent="0.2">
      <c r="A704" s="98" t="s">
        <v>364</v>
      </c>
    </row>
    <row r="705" spans="1:1" x14ac:dyDescent="0.2">
      <c r="A705" s="98" t="s">
        <v>857</v>
      </c>
    </row>
    <row r="706" spans="1:1" x14ac:dyDescent="0.2">
      <c r="A706" s="98" t="s">
        <v>726</v>
      </c>
    </row>
    <row r="707" spans="1:1" x14ac:dyDescent="0.2">
      <c r="A707" s="98" t="s">
        <v>817</v>
      </c>
    </row>
    <row r="708" spans="1:1" x14ac:dyDescent="0.2">
      <c r="A708" s="98" t="s">
        <v>579</v>
      </c>
    </row>
    <row r="709" spans="1:1" x14ac:dyDescent="0.2">
      <c r="A709" s="98" t="s">
        <v>477</v>
      </c>
    </row>
    <row r="710" spans="1:1" x14ac:dyDescent="0.2">
      <c r="A710" s="98" t="s">
        <v>532</v>
      </c>
    </row>
    <row r="711" spans="1:1" x14ac:dyDescent="0.2">
      <c r="A711" s="98" t="s">
        <v>365</v>
      </c>
    </row>
    <row r="712" spans="1:1" x14ac:dyDescent="0.2">
      <c r="A712" s="98" t="s">
        <v>858</v>
      </c>
    </row>
    <row r="713" spans="1:1" x14ac:dyDescent="0.2">
      <c r="A713" s="126" t="s">
        <v>974</v>
      </c>
    </row>
    <row r="714" spans="1:1" x14ac:dyDescent="0.2">
      <c r="A714" s="126" t="s">
        <v>975</v>
      </c>
    </row>
    <row r="715" spans="1:1" x14ac:dyDescent="0.2">
      <c r="A715" s="126" t="s">
        <v>976</v>
      </c>
    </row>
    <row r="716" spans="1:1" x14ac:dyDescent="0.2">
      <c r="A716" s="98" t="s">
        <v>366</v>
      </c>
    </row>
    <row r="717" spans="1:1" x14ac:dyDescent="0.2">
      <c r="A717" s="98" t="s">
        <v>782</v>
      </c>
    </row>
    <row r="718" spans="1:1" x14ac:dyDescent="0.2">
      <c r="A718" s="98" t="s">
        <v>727</v>
      </c>
    </row>
    <row r="719" spans="1:1" x14ac:dyDescent="0.2">
      <c r="A719" s="98" t="s">
        <v>602</v>
      </c>
    </row>
    <row r="720" spans="1:1" x14ac:dyDescent="0.2">
      <c r="A720" s="98" t="s">
        <v>525</v>
      </c>
    </row>
    <row r="721" spans="1:1" x14ac:dyDescent="0.2">
      <c r="A721" s="98" t="s">
        <v>699</v>
      </c>
    </row>
    <row r="722" spans="1:1" x14ac:dyDescent="0.2">
      <c r="A722" s="98" t="s">
        <v>678</v>
      </c>
    </row>
    <row r="723" spans="1:1" x14ac:dyDescent="0.2">
      <c r="A723" s="98" t="s">
        <v>367</v>
      </c>
    </row>
    <row r="724" spans="1:1" x14ac:dyDescent="0.2">
      <c r="A724" s="98" t="s">
        <v>526</v>
      </c>
    </row>
    <row r="725" spans="1:1" x14ac:dyDescent="0.2">
      <c r="A725" s="126" t="s">
        <v>1055</v>
      </c>
    </row>
    <row r="726" spans="1:1" x14ac:dyDescent="0.2">
      <c r="A726" s="98" t="s">
        <v>368</v>
      </c>
    </row>
    <row r="727" spans="1:1" x14ac:dyDescent="0.2">
      <c r="A727" s="98" t="s">
        <v>859</v>
      </c>
    </row>
    <row r="728" spans="1:1" x14ac:dyDescent="0.2">
      <c r="A728" s="98" t="s">
        <v>507</v>
      </c>
    </row>
    <row r="729" spans="1:1" x14ac:dyDescent="0.2">
      <c r="A729" s="98" t="s">
        <v>533</v>
      </c>
    </row>
    <row r="730" spans="1:1" x14ac:dyDescent="0.2">
      <c r="A730" s="98" t="s">
        <v>1244</v>
      </c>
    </row>
    <row r="731" spans="1:1" x14ac:dyDescent="0.2">
      <c r="A731" s="98" t="s">
        <v>369</v>
      </c>
    </row>
    <row r="732" spans="1:1" x14ac:dyDescent="0.2">
      <c r="A732" s="126" t="s">
        <v>783</v>
      </c>
    </row>
    <row r="733" spans="1:1" x14ac:dyDescent="0.2">
      <c r="A733" s="126" t="s">
        <v>784</v>
      </c>
    </row>
    <row r="734" spans="1:1" x14ac:dyDescent="0.2">
      <c r="A734" s="98" t="s">
        <v>370</v>
      </c>
    </row>
    <row r="735" spans="1:1" x14ac:dyDescent="0.2">
      <c r="A735" s="126" t="s">
        <v>977</v>
      </c>
    </row>
    <row r="736" spans="1:1" x14ac:dyDescent="0.2">
      <c r="A736" s="126" t="s">
        <v>978</v>
      </c>
    </row>
    <row r="737" spans="1:1" x14ac:dyDescent="0.2">
      <c r="A737" s="126" t="s">
        <v>979</v>
      </c>
    </row>
    <row r="738" spans="1:1" x14ac:dyDescent="0.2">
      <c r="A738" s="126" t="s">
        <v>1344</v>
      </c>
    </row>
    <row r="739" spans="1:1" x14ac:dyDescent="0.2">
      <c r="A739" s="98" t="s">
        <v>371</v>
      </c>
    </row>
    <row r="740" spans="1:1" x14ac:dyDescent="0.2">
      <c r="A740" s="98" t="s">
        <v>372</v>
      </c>
    </row>
    <row r="741" spans="1:1" x14ac:dyDescent="0.2">
      <c r="A741" s="126" t="s">
        <v>980</v>
      </c>
    </row>
    <row r="742" spans="1:1" x14ac:dyDescent="0.2">
      <c r="A742" s="98" t="s">
        <v>373</v>
      </c>
    </row>
    <row r="743" spans="1:1" x14ac:dyDescent="0.2">
      <c r="A743" s="126" t="s">
        <v>871</v>
      </c>
    </row>
    <row r="744" spans="1:1" x14ac:dyDescent="0.2">
      <c r="A744" s="126" t="s">
        <v>785</v>
      </c>
    </row>
    <row r="745" spans="1:1" x14ac:dyDescent="0.2">
      <c r="A745" s="98" t="s">
        <v>728</v>
      </c>
    </row>
    <row r="746" spans="1:1" x14ac:dyDescent="0.2">
      <c r="A746" s="126" t="s">
        <v>1045</v>
      </c>
    </row>
    <row r="747" spans="1:1" x14ac:dyDescent="0.2">
      <c r="A747" s="126" t="s">
        <v>981</v>
      </c>
    </row>
    <row r="748" spans="1:1" x14ac:dyDescent="0.2">
      <c r="A748" s="98" t="s">
        <v>478</v>
      </c>
    </row>
    <row r="749" spans="1:1" x14ac:dyDescent="0.2">
      <c r="A749" s="98" t="s">
        <v>374</v>
      </c>
    </row>
    <row r="750" spans="1:1" x14ac:dyDescent="0.2">
      <c r="A750" s="98" t="s">
        <v>1345</v>
      </c>
    </row>
    <row r="751" spans="1:1" x14ac:dyDescent="0.2">
      <c r="A751" s="98" t="s">
        <v>375</v>
      </c>
    </row>
    <row r="752" spans="1:1" x14ac:dyDescent="0.2">
      <c r="A752" s="98" t="s">
        <v>591</v>
      </c>
    </row>
    <row r="753" spans="1:1" x14ac:dyDescent="0.2">
      <c r="A753" s="126" t="s">
        <v>982</v>
      </c>
    </row>
    <row r="754" spans="1:1" x14ac:dyDescent="0.2">
      <c r="A754" s="126" t="s">
        <v>786</v>
      </c>
    </row>
    <row r="755" spans="1:1" x14ac:dyDescent="0.2">
      <c r="A755" s="98" t="s">
        <v>376</v>
      </c>
    </row>
    <row r="756" spans="1:1" x14ac:dyDescent="0.2">
      <c r="A756" s="98" t="s">
        <v>453</v>
      </c>
    </row>
    <row r="757" spans="1:1" x14ac:dyDescent="0.2">
      <c r="A757" s="126" t="s">
        <v>787</v>
      </c>
    </row>
    <row r="758" spans="1:1" x14ac:dyDescent="0.2">
      <c r="A758" s="98" t="s">
        <v>479</v>
      </c>
    </row>
    <row r="759" spans="1:1" x14ac:dyDescent="0.2">
      <c r="A759" s="98" t="s">
        <v>580</v>
      </c>
    </row>
    <row r="760" spans="1:1" x14ac:dyDescent="0.2">
      <c r="A760" s="98" t="s">
        <v>842</v>
      </c>
    </row>
    <row r="761" spans="1:1" x14ac:dyDescent="0.2">
      <c r="A761" s="126" t="s">
        <v>755</v>
      </c>
    </row>
    <row r="762" spans="1:1" x14ac:dyDescent="0.2">
      <c r="A762" s="98" t="s">
        <v>377</v>
      </c>
    </row>
    <row r="763" spans="1:1" x14ac:dyDescent="0.2">
      <c r="A763" s="98" t="s">
        <v>378</v>
      </c>
    </row>
    <row r="764" spans="1:1" x14ac:dyDescent="0.2">
      <c r="A764" s="98" t="s">
        <v>379</v>
      </c>
    </row>
    <row r="765" spans="1:1" x14ac:dyDescent="0.2">
      <c r="A765" s="98" t="s">
        <v>380</v>
      </c>
    </row>
    <row r="766" spans="1:1" x14ac:dyDescent="0.2">
      <c r="A766" s="98" t="s">
        <v>581</v>
      </c>
    </row>
    <row r="767" spans="1:1" x14ac:dyDescent="0.2">
      <c r="A767" s="126" t="s">
        <v>983</v>
      </c>
    </row>
    <row r="768" spans="1:1" x14ac:dyDescent="0.2">
      <c r="A768" s="98" t="s">
        <v>700</v>
      </c>
    </row>
    <row r="769" spans="1:1" x14ac:dyDescent="0.2">
      <c r="A769" s="126" t="s">
        <v>788</v>
      </c>
    </row>
    <row r="770" spans="1:1" x14ac:dyDescent="0.2">
      <c r="A770" s="126" t="s">
        <v>789</v>
      </c>
    </row>
    <row r="771" spans="1:1" x14ac:dyDescent="0.2">
      <c r="A771" s="126" t="s">
        <v>1245</v>
      </c>
    </row>
    <row r="772" spans="1:1" x14ac:dyDescent="0.2">
      <c r="A772" s="98" t="s">
        <v>609</v>
      </c>
    </row>
    <row r="773" spans="1:1" x14ac:dyDescent="0.2">
      <c r="A773" s="98" t="s">
        <v>381</v>
      </c>
    </row>
    <row r="774" spans="1:1" x14ac:dyDescent="0.2">
      <c r="A774" s="98" t="s">
        <v>860</v>
      </c>
    </row>
    <row r="775" spans="1:1" x14ac:dyDescent="0.2">
      <c r="A775" s="126" t="s">
        <v>984</v>
      </c>
    </row>
    <row r="776" spans="1:1" x14ac:dyDescent="0.2">
      <c r="A776" s="98" t="s">
        <v>382</v>
      </c>
    </row>
    <row r="777" spans="1:1" x14ac:dyDescent="0.2">
      <c r="A777" s="98" t="s">
        <v>454</v>
      </c>
    </row>
    <row r="778" spans="1:1" x14ac:dyDescent="0.2">
      <c r="A778" s="126" t="s">
        <v>985</v>
      </c>
    </row>
    <row r="779" spans="1:1" x14ac:dyDescent="0.2">
      <c r="A779" s="98" t="s">
        <v>383</v>
      </c>
    </row>
    <row r="780" spans="1:1" x14ac:dyDescent="0.2">
      <c r="A780" s="126" t="s">
        <v>986</v>
      </c>
    </row>
    <row r="781" spans="1:1" x14ac:dyDescent="0.2">
      <c r="A781" s="98" t="s">
        <v>818</v>
      </c>
    </row>
    <row r="782" spans="1:1" x14ac:dyDescent="0.2">
      <c r="A782" s="98" t="s">
        <v>527</v>
      </c>
    </row>
    <row r="783" spans="1:1" x14ac:dyDescent="0.2">
      <c r="A783" s="98" t="s">
        <v>565</v>
      </c>
    </row>
    <row r="784" spans="1:1" x14ac:dyDescent="0.2">
      <c r="A784" s="98" t="s">
        <v>729</v>
      </c>
    </row>
    <row r="785" spans="1:1" x14ac:dyDescent="0.2">
      <c r="A785" s="98" t="s">
        <v>1246</v>
      </c>
    </row>
    <row r="786" spans="1:1" x14ac:dyDescent="0.2">
      <c r="A786" s="126" t="s">
        <v>987</v>
      </c>
    </row>
    <row r="787" spans="1:1" x14ac:dyDescent="0.2">
      <c r="A787" s="98" t="s">
        <v>455</v>
      </c>
    </row>
    <row r="788" spans="1:1" x14ac:dyDescent="0.2">
      <c r="A788" s="126" t="s">
        <v>988</v>
      </c>
    </row>
    <row r="789" spans="1:1" x14ac:dyDescent="0.2">
      <c r="A789" s="98" t="s">
        <v>384</v>
      </c>
    </row>
    <row r="790" spans="1:1" x14ac:dyDescent="0.2">
      <c r="A790" s="126" t="s">
        <v>687</v>
      </c>
    </row>
    <row r="791" spans="1:1" x14ac:dyDescent="0.2">
      <c r="A791" s="98" t="s">
        <v>456</v>
      </c>
    </row>
    <row r="792" spans="1:1" x14ac:dyDescent="0.2">
      <c r="A792" s="126" t="s">
        <v>989</v>
      </c>
    </row>
    <row r="793" spans="1:1" x14ac:dyDescent="0.2">
      <c r="A793" s="126" t="s">
        <v>990</v>
      </c>
    </row>
    <row r="794" spans="1:1" x14ac:dyDescent="0.2">
      <c r="A794" s="126" t="s">
        <v>991</v>
      </c>
    </row>
    <row r="795" spans="1:1" x14ac:dyDescent="0.2">
      <c r="A795" s="98" t="s">
        <v>457</v>
      </c>
    </row>
    <row r="796" spans="1:1" x14ac:dyDescent="0.2">
      <c r="A796" s="98" t="s">
        <v>1294</v>
      </c>
    </row>
    <row r="797" spans="1:1" x14ac:dyDescent="0.2">
      <c r="A797" s="126" t="s">
        <v>992</v>
      </c>
    </row>
    <row r="798" spans="1:1" x14ac:dyDescent="0.2">
      <c r="A798" s="98" t="s">
        <v>385</v>
      </c>
    </row>
    <row r="799" spans="1:1" x14ac:dyDescent="0.2">
      <c r="A799" s="126" t="s">
        <v>847</v>
      </c>
    </row>
    <row r="800" spans="1:1" x14ac:dyDescent="0.2">
      <c r="A800" s="98" t="s">
        <v>386</v>
      </c>
    </row>
    <row r="801" spans="1:1" x14ac:dyDescent="0.2">
      <c r="A801" s="98" t="s">
        <v>387</v>
      </c>
    </row>
    <row r="802" spans="1:1" x14ac:dyDescent="0.2">
      <c r="A802" s="126" t="s">
        <v>993</v>
      </c>
    </row>
    <row r="803" spans="1:1" x14ac:dyDescent="0.2">
      <c r="A803" s="98" t="s">
        <v>528</v>
      </c>
    </row>
    <row r="804" spans="1:1" x14ac:dyDescent="0.2">
      <c r="A804" s="98" t="s">
        <v>592</v>
      </c>
    </row>
    <row r="805" spans="1:1" x14ac:dyDescent="0.2">
      <c r="A805" s="98" t="s">
        <v>458</v>
      </c>
    </row>
    <row r="806" spans="1:1" x14ac:dyDescent="0.2">
      <c r="A806" s="126" t="s">
        <v>688</v>
      </c>
    </row>
    <row r="807" spans="1:1" x14ac:dyDescent="0.2">
      <c r="A807" s="126" t="s">
        <v>861</v>
      </c>
    </row>
    <row r="808" spans="1:1" x14ac:dyDescent="0.2">
      <c r="A808" s="98" t="s">
        <v>388</v>
      </c>
    </row>
    <row r="809" spans="1:1" x14ac:dyDescent="0.2">
      <c r="A809" s="98" t="s">
        <v>389</v>
      </c>
    </row>
    <row r="810" spans="1:1" x14ac:dyDescent="0.2">
      <c r="A810" s="98" t="s">
        <v>1346</v>
      </c>
    </row>
    <row r="811" spans="1:1" x14ac:dyDescent="0.2">
      <c r="A811" s="98" t="s">
        <v>390</v>
      </c>
    </row>
    <row r="812" spans="1:1" x14ac:dyDescent="0.2">
      <c r="A812" s="126" t="s">
        <v>689</v>
      </c>
    </row>
    <row r="813" spans="1:1" x14ac:dyDescent="0.2">
      <c r="A813" s="126" t="s">
        <v>640</v>
      </c>
    </row>
    <row r="814" spans="1:1" x14ac:dyDescent="0.2">
      <c r="A814" s="126" t="s">
        <v>994</v>
      </c>
    </row>
    <row r="815" spans="1:1" x14ac:dyDescent="0.2">
      <c r="A815" s="98" t="s">
        <v>391</v>
      </c>
    </row>
    <row r="816" spans="1:1" x14ac:dyDescent="0.2">
      <c r="A816" s="126" t="s">
        <v>1056</v>
      </c>
    </row>
    <row r="817" spans="1:1" x14ac:dyDescent="0.2">
      <c r="A817" s="126" t="s">
        <v>995</v>
      </c>
    </row>
    <row r="818" spans="1:1" x14ac:dyDescent="0.2">
      <c r="A818" s="126" t="s">
        <v>872</v>
      </c>
    </row>
    <row r="819" spans="1:1" x14ac:dyDescent="0.2">
      <c r="A819" s="98" t="s">
        <v>392</v>
      </c>
    </row>
    <row r="820" spans="1:1" x14ac:dyDescent="0.2">
      <c r="A820" s="98" t="s">
        <v>790</v>
      </c>
    </row>
    <row r="821" spans="1:1" x14ac:dyDescent="0.2">
      <c r="A821" s="126" t="s">
        <v>873</v>
      </c>
    </row>
    <row r="822" spans="1:1" x14ac:dyDescent="0.2">
      <c r="A822" s="98" t="s">
        <v>393</v>
      </c>
    </row>
    <row r="823" spans="1:1" x14ac:dyDescent="0.2">
      <c r="A823" s="98" t="s">
        <v>534</v>
      </c>
    </row>
    <row r="824" spans="1:1" x14ac:dyDescent="0.2">
      <c r="A824" s="126" t="s">
        <v>996</v>
      </c>
    </row>
    <row r="825" spans="1:1" x14ac:dyDescent="0.2">
      <c r="A825" s="126" t="s">
        <v>1046</v>
      </c>
    </row>
    <row r="826" spans="1:1" x14ac:dyDescent="0.2">
      <c r="A826" s="98" t="s">
        <v>593</v>
      </c>
    </row>
    <row r="827" spans="1:1" x14ac:dyDescent="0.2">
      <c r="A827" s="98" t="s">
        <v>648</v>
      </c>
    </row>
    <row r="828" spans="1:1" x14ac:dyDescent="0.2">
      <c r="A828" s="126" t="s">
        <v>997</v>
      </c>
    </row>
    <row r="829" spans="1:1" x14ac:dyDescent="0.2">
      <c r="A829" s="126" t="s">
        <v>1247</v>
      </c>
    </row>
    <row r="830" spans="1:1" x14ac:dyDescent="0.2">
      <c r="A830" s="126" t="s">
        <v>1347</v>
      </c>
    </row>
    <row r="831" spans="1:1" x14ac:dyDescent="0.2">
      <c r="A831" s="98" t="s">
        <v>394</v>
      </c>
    </row>
    <row r="832" spans="1:1" x14ac:dyDescent="0.2">
      <c r="A832" s="98" t="s">
        <v>1295</v>
      </c>
    </row>
    <row r="833" spans="1:1" x14ac:dyDescent="0.2">
      <c r="A833" s="98" t="s">
        <v>730</v>
      </c>
    </row>
    <row r="834" spans="1:1" x14ac:dyDescent="0.2">
      <c r="A834" s="126" t="s">
        <v>998</v>
      </c>
    </row>
    <row r="835" spans="1:1" x14ac:dyDescent="0.2">
      <c r="A835" s="126" t="s">
        <v>999</v>
      </c>
    </row>
    <row r="836" spans="1:1" x14ac:dyDescent="0.2">
      <c r="A836" s="98" t="s">
        <v>791</v>
      </c>
    </row>
    <row r="837" spans="1:1" x14ac:dyDescent="0.2">
      <c r="A837" s="126" t="s">
        <v>1047</v>
      </c>
    </row>
    <row r="838" spans="1:1" x14ac:dyDescent="0.2">
      <c r="A838" s="126" t="s">
        <v>1348</v>
      </c>
    </row>
    <row r="839" spans="1:1" x14ac:dyDescent="0.2">
      <c r="A839" s="126" t="s">
        <v>1000</v>
      </c>
    </row>
    <row r="840" spans="1:1" x14ac:dyDescent="0.2">
      <c r="A840" s="98" t="s">
        <v>535</v>
      </c>
    </row>
    <row r="841" spans="1:1" x14ac:dyDescent="0.2">
      <c r="A841" s="126" t="s">
        <v>1001</v>
      </c>
    </row>
    <row r="842" spans="1:1" x14ac:dyDescent="0.2">
      <c r="A842" s="126" t="s">
        <v>1296</v>
      </c>
    </row>
    <row r="843" spans="1:1" x14ac:dyDescent="0.2">
      <c r="A843" s="98" t="s">
        <v>512</v>
      </c>
    </row>
    <row r="844" spans="1:1" x14ac:dyDescent="0.2">
      <c r="A844" s="126" t="s">
        <v>1048</v>
      </c>
    </row>
    <row r="845" spans="1:1" x14ac:dyDescent="0.2">
      <c r="A845" s="126" t="s">
        <v>1349</v>
      </c>
    </row>
    <row r="846" spans="1:1" x14ac:dyDescent="0.2">
      <c r="A846" s="126" t="s">
        <v>874</v>
      </c>
    </row>
    <row r="847" spans="1:1" x14ac:dyDescent="0.2">
      <c r="A847" s="98" t="s">
        <v>819</v>
      </c>
    </row>
    <row r="848" spans="1:1" x14ac:dyDescent="0.2">
      <c r="A848" s="98" t="s">
        <v>395</v>
      </c>
    </row>
    <row r="849" spans="1:1" x14ac:dyDescent="0.2">
      <c r="A849" s="98" t="s">
        <v>396</v>
      </c>
    </row>
    <row r="850" spans="1:1" x14ac:dyDescent="0.2">
      <c r="A850" s="98" t="s">
        <v>397</v>
      </c>
    </row>
    <row r="851" spans="1:1" x14ac:dyDescent="0.2">
      <c r="A851" s="98" t="s">
        <v>398</v>
      </c>
    </row>
    <row r="852" spans="1:1" x14ac:dyDescent="0.2">
      <c r="A852" s="98" t="s">
        <v>1350</v>
      </c>
    </row>
    <row r="853" spans="1:1" x14ac:dyDescent="0.2">
      <c r="A853" s="126" t="s">
        <v>792</v>
      </c>
    </row>
    <row r="854" spans="1:1" x14ac:dyDescent="0.2">
      <c r="A854" s="98" t="s">
        <v>731</v>
      </c>
    </row>
    <row r="855" spans="1:1" x14ac:dyDescent="0.2">
      <c r="A855" s="98" t="s">
        <v>835</v>
      </c>
    </row>
    <row r="856" spans="1:1" x14ac:dyDescent="0.2">
      <c r="A856" s="98" t="s">
        <v>513</v>
      </c>
    </row>
    <row r="857" spans="1:1" x14ac:dyDescent="0.2">
      <c r="A857" s="98" t="s">
        <v>830</v>
      </c>
    </row>
    <row r="858" spans="1:1" x14ac:dyDescent="0.2">
      <c r="A858" s="98" t="s">
        <v>603</v>
      </c>
    </row>
    <row r="859" spans="1:1" x14ac:dyDescent="0.2">
      <c r="A859" s="126" t="s">
        <v>793</v>
      </c>
    </row>
    <row r="860" spans="1:1" x14ac:dyDescent="0.2">
      <c r="A860" s="98" t="s">
        <v>399</v>
      </c>
    </row>
    <row r="861" spans="1:1" x14ac:dyDescent="0.2">
      <c r="A861" s="98" t="s">
        <v>400</v>
      </c>
    </row>
    <row r="862" spans="1:1" x14ac:dyDescent="0.2">
      <c r="A862" s="126" t="s">
        <v>848</v>
      </c>
    </row>
    <row r="863" spans="1:1" x14ac:dyDescent="0.2">
      <c r="A863" s="126" t="s">
        <v>1248</v>
      </c>
    </row>
    <row r="864" spans="1:1" x14ac:dyDescent="0.2">
      <c r="A864" s="126" t="s">
        <v>1002</v>
      </c>
    </row>
    <row r="865" spans="1:1" x14ac:dyDescent="0.2">
      <c r="A865" s="126" t="s">
        <v>1003</v>
      </c>
    </row>
    <row r="866" spans="1:1" x14ac:dyDescent="0.2">
      <c r="A866" s="98" t="s">
        <v>401</v>
      </c>
    </row>
    <row r="867" spans="1:1" x14ac:dyDescent="0.2">
      <c r="A867" s="126" t="s">
        <v>732</v>
      </c>
    </row>
    <row r="868" spans="1:1" x14ac:dyDescent="0.2">
      <c r="A868" s="98" t="s">
        <v>402</v>
      </c>
    </row>
    <row r="869" spans="1:1" x14ac:dyDescent="0.2">
      <c r="A869" s="98" t="s">
        <v>403</v>
      </c>
    </row>
    <row r="870" spans="1:1" x14ac:dyDescent="0.2">
      <c r="A870" s="98" t="s">
        <v>732</v>
      </c>
    </row>
    <row r="871" spans="1:1" x14ac:dyDescent="0.2">
      <c r="A871" s="98" t="s">
        <v>459</v>
      </c>
    </row>
    <row r="872" spans="1:1" x14ac:dyDescent="0.2">
      <c r="A872" s="98" t="s">
        <v>529</v>
      </c>
    </row>
    <row r="873" spans="1:1" x14ac:dyDescent="0.2">
      <c r="A873" s="126" t="s">
        <v>1004</v>
      </c>
    </row>
    <row r="874" spans="1:1" x14ac:dyDescent="0.2">
      <c r="A874" s="126" t="s">
        <v>1005</v>
      </c>
    </row>
    <row r="875" spans="1:1" x14ac:dyDescent="0.2">
      <c r="A875" s="126" t="s">
        <v>1006</v>
      </c>
    </row>
    <row r="876" spans="1:1" x14ac:dyDescent="0.2">
      <c r="A876" s="98" t="s">
        <v>404</v>
      </c>
    </row>
    <row r="877" spans="1:1" x14ac:dyDescent="0.2">
      <c r="A877" s="126" t="s">
        <v>1057</v>
      </c>
    </row>
    <row r="878" spans="1:1" x14ac:dyDescent="0.2">
      <c r="A878" s="126" t="s">
        <v>1351</v>
      </c>
    </row>
    <row r="879" spans="1:1" x14ac:dyDescent="0.2">
      <c r="A879" s="98" t="s">
        <v>582</v>
      </c>
    </row>
    <row r="880" spans="1:1" x14ac:dyDescent="0.2">
      <c r="A880" s="126" t="s">
        <v>1007</v>
      </c>
    </row>
    <row r="881" spans="1:1" x14ac:dyDescent="0.2">
      <c r="A881" s="126" t="s">
        <v>1008</v>
      </c>
    </row>
    <row r="882" spans="1:1" x14ac:dyDescent="0.2">
      <c r="A882" s="126" t="s">
        <v>1009</v>
      </c>
    </row>
    <row r="883" spans="1:1" x14ac:dyDescent="0.2">
      <c r="A883" s="126" t="s">
        <v>1352</v>
      </c>
    </row>
    <row r="884" spans="1:1" x14ac:dyDescent="0.2">
      <c r="A884" s="98" t="s">
        <v>480</v>
      </c>
    </row>
    <row r="885" spans="1:1" x14ac:dyDescent="0.2">
      <c r="A885" s="126" t="s">
        <v>1010</v>
      </c>
    </row>
    <row r="886" spans="1:1" x14ac:dyDescent="0.2">
      <c r="A886" s="98" t="s">
        <v>481</v>
      </c>
    </row>
    <row r="887" spans="1:1" x14ac:dyDescent="0.2">
      <c r="A887" s="98" t="s">
        <v>1249</v>
      </c>
    </row>
    <row r="888" spans="1:1" x14ac:dyDescent="0.2">
      <c r="A888" s="126" t="s">
        <v>1011</v>
      </c>
    </row>
    <row r="889" spans="1:1" x14ac:dyDescent="0.2">
      <c r="A889" s="126" t="s">
        <v>1297</v>
      </c>
    </row>
    <row r="890" spans="1:1" x14ac:dyDescent="0.2">
      <c r="A890" s="126" t="s">
        <v>1012</v>
      </c>
    </row>
    <row r="891" spans="1:1" x14ac:dyDescent="0.2">
      <c r="A891" s="98" t="s">
        <v>733</v>
      </c>
    </row>
    <row r="892" spans="1:1" x14ac:dyDescent="0.2">
      <c r="A892" s="98" t="s">
        <v>482</v>
      </c>
    </row>
    <row r="893" spans="1:1" x14ac:dyDescent="0.2">
      <c r="A893" s="126" t="s">
        <v>1013</v>
      </c>
    </row>
    <row r="894" spans="1:1" x14ac:dyDescent="0.2">
      <c r="A894" s="98" t="s">
        <v>679</v>
      </c>
    </row>
    <row r="895" spans="1:1" x14ac:dyDescent="0.2">
      <c r="A895" s="98" t="s">
        <v>460</v>
      </c>
    </row>
    <row r="896" spans="1:1" x14ac:dyDescent="0.2">
      <c r="A896" s="126" t="s">
        <v>1353</v>
      </c>
    </row>
    <row r="897" spans="1:1" x14ac:dyDescent="0.2">
      <c r="A897" s="98" t="s">
        <v>405</v>
      </c>
    </row>
    <row r="898" spans="1:1" x14ac:dyDescent="0.2">
      <c r="A898" s="126" t="s">
        <v>1014</v>
      </c>
    </row>
    <row r="899" spans="1:1" x14ac:dyDescent="0.2">
      <c r="A899" s="126" t="s">
        <v>794</v>
      </c>
    </row>
    <row r="900" spans="1:1" x14ac:dyDescent="0.2">
      <c r="A900" s="98" t="s">
        <v>406</v>
      </c>
    </row>
    <row r="901" spans="1:1" x14ac:dyDescent="0.2">
      <c r="A901" s="98" t="s">
        <v>407</v>
      </c>
    </row>
    <row r="902" spans="1:1" x14ac:dyDescent="0.2">
      <c r="A902" s="98" t="s">
        <v>508</v>
      </c>
    </row>
    <row r="903" spans="1:1" x14ac:dyDescent="0.2">
      <c r="A903" s="98" t="s">
        <v>1298</v>
      </c>
    </row>
    <row r="904" spans="1:1" x14ac:dyDescent="0.2">
      <c r="A904" s="98" t="s">
        <v>1299</v>
      </c>
    </row>
    <row r="905" spans="1:1" x14ac:dyDescent="0.2">
      <c r="A905" s="98" t="s">
        <v>1250</v>
      </c>
    </row>
    <row r="906" spans="1:1" x14ac:dyDescent="0.2">
      <c r="A906" s="126" t="s">
        <v>756</v>
      </c>
    </row>
    <row r="907" spans="1:1" x14ac:dyDescent="0.2">
      <c r="A907" s="98" t="s">
        <v>583</v>
      </c>
    </row>
    <row r="908" spans="1:1" x14ac:dyDescent="0.2">
      <c r="A908" s="98" t="s">
        <v>536</v>
      </c>
    </row>
    <row r="909" spans="1:1" x14ac:dyDescent="0.2">
      <c r="A909" s="98" t="s">
        <v>1300</v>
      </c>
    </row>
    <row r="910" spans="1:1" x14ac:dyDescent="0.2">
      <c r="A910" s="126" t="s">
        <v>1015</v>
      </c>
    </row>
    <row r="911" spans="1:1" x14ac:dyDescent="0.2">
      <c r="A911" s="98" t="s">
        <v>408</v>
      </c>
    </row>
    <row r="912" spans="1:1" x14ac:dyDescent="0.2">
      <c r="A912" s="98" t="s">
        <v>584</v>
      </c>
    </row>
    <row r="913" spans="1:1" x14ac:dyDescent="0.2">
      <c r="A913" s="98" t="s">
        <v>409</v>
      </c>
    </row>
    <row r="914" spans="1:1" x14ac:dyDescent="0.2">
      <c r="A914" s="98" t="s">
        <v>410</v>
      </c>
    </row>
    <row r="915" spans="1:1" x14ac:dyDescent="0.2">
      <c r="A915" s="126" t="s">
        <v>1016</v>
      </c>
    </row>
    <row r="916" spans="1:1" x14ac:dyDescent="0.2">
      <c r="A916" s="98" t="s">
        <v>537</v>
      </c>
    </row>
    <row r="917" spans="1:1" x14ac:dyDescent="0.2">
      <c r="A917" s="126" t="s">
        <v>1017</v>
      </c>
    </row>
    <row r="918" spans="1:1" x14ac:dyDescent="0.2">
      <c r="A918" s="126" t="s">
        <v>1018</v>
      </c>
    </row>
    <row r="919" spans="1:1" x14ac:dyDescent="0.2">
      <c r="A919" s="126" t="s">
        <v>1251</v>
      </c>
    </row>
    <row r="920" spans="1:1" x14ac:dyDescent="0.2">
      <c r="A920" s="98" t="s">
        <v>411</v>
      </c>
    </row>
    <row r="921" spans="1:1" x14ac:dyDescent="0.2">
      <c r="A921" s="126" t="s">
        <v>1019</v>
      </c>
    </row>
    <row r="922" spans="1:1" x14ac:dyDescent="0.2">
      <c r="A922" s="98" t="s">
        <v>1301</v>
      </c>
    </row>
    <row r="923" spans="1:1" x14ac:dyDescent="0.2">
      <c r="A923" s="98" t="s">
        <v>820</v>
      </c>
    </row>
    <row r="924" spans="1:1" x14ac:dyDescent="0.2">
      <c r="A924" s="126" t="s">
        <v>1020</v>
      </c>
    </row>
    <row r="925" spans="1:1" x14ac:dyDescent="0.2">
      <c r="A925" s="126" t="s">
        <v>1021</v>
      </c>
    </row>
    <row r="926" spans="1:1" x14ac:dyDescent="0.2">
      <c r="A926" s="126" t="s">
        <v>849</v>
      </c>
    </row>
    <row r="927" spans="1:1" x14ac:dyDescent="0.2">
      <c r="A927" s="98" t="s">
        <v>566</v>
      </c>
    </row>
    <row r="928" spans="1:1" x14ac:dyDescent="0.2">
      <c r="A928" s="126" t="s">
        <v>1049</v>
      </c>
    </row>
    <row r="929" spans="1:1" x14ac:dyDescent="0.2">
      <c r="A929" s="126" t="s">
        <v>795</v>
      </c>
    </row>
    <row r="930" spans="1:1" x14ac:dyDescent="0.2">
      <c r="A930" s="126" t="s">
        <v>1252</v>
      </c>
    </row>
    <row r="931" spans="1:1" x14ac:dyDescent="0.2">
      <c r="A931" s="98" t="s">
        <v>680</v>
      </c>
    </row>
    <row r="932" spans="1:1" x14ac:dyDescent="0.2">
      <c r="A932" s="98" t="s">
        <v>1253</v>
      </c>
    </row>
    <row r="933" spans="1:1" x14ac:dyDescent="0.2">
      <c r="A933" s="98" t="s">
        <v>412</v>
      </c>
    </row>
    <row r="934" spans="1:1" x14ac:dyDescent="0.2">
      <c r="A934" s="416" t="s">
        <v>1022</v>
      </c>
    </row>
  </sheetData>
  <sheetProtection algorithmName="SHA-512" hashValue="/T00EnDUdNj3LKi1ZuwVe25wMOzp8Qo1iUb9ZgUZiS2gn7NgWM/qCPsTiie3+9G2fjd/Kv0hf/1p8RmMzgI7LQ==" saltValue="OndAMwUrypfSciqCS7A4HQ==" spinCount="100000" sheet="1" objects="1" scenarios="1"/>
  <sortState xmlns:xlrd2="http://schemas.microsoft.com/office/spreadsheetml/2017/richdata2" ref="M44:M54">
    <sortCondition descending="1" ref="M44:M54"/>
  </sortState>
  <phoneticPr fontId="4" type="noConversion"/>
  <pageMargins left="0.75" right="0.75" top="1" bottom="1" header="0.5" footer="0.5"/>
  <pageSetup scale="3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29"/>
  </sheetPr>
  <dimension ref="A1:K231"/>
  <sheetViews>
    <sheetView zoomScaleNormal="100" workbookViewId="0">
      <selection activeCell="C184" sqref="C184"/>
    </sheetView>
  </sheetViews>
  <sheetFormatPr defaultRowHeight="12.75" x14ac:dyDescent="0.2"/>
  <cols>
    <col min="1" max="1" width="13.5703125" customWidth="1"/>
    <col min="2" max="2" width="13.28515625" customWidth="1"/>
    <col min="3" max="3" width="31.140625" customWidth="1"/>
    <col min="4" max="4" width="12.7109375" customWidth="1"/>
    <col min="5" max="5" width="8.28515625" customWidth="1"/>
    <col min="6" max="6" width="15.85546875" customWidth="1"/>
    <col min="7" max="7" width="13" customWidth="1"/>
    <col min="8" max="8" width="14.28515625" customWidth="1"/>
  </cols>
  <sheetData>
    <row r="1" spans="1:8" ht="15" x14ac:dyDescent="0.2">
      <c r="C1" s="1"/>
      <c r="D1" s="1"/>
      <c r="F1" s="75" t="s">
        <v>0</v>
      </c>
    </row>
    <row r="2" spans="1:8" ht="18" x14ac:dyDescent="0.25">
      <c r="C2" s="1"/>
      <c r="D2" s="1"/>
      <c r="F2" s="76" t="s">
        <v>159</v>
      </c>
    </row>
    <row r="3" spans="1:8" ht="15" x14ac:dyDescent="0.2">
      <c r="C3" s="1"/>
      <c r="D3" s="1"/>
    </row>
    <row r="4" spans="1:8" x14ac:dyDescent="0.2">
      <c r="H4" s="320" t="str">
        <f>Year1!H4</f>
        <v>Ver.14.6 3/25</v>
      </c>
    </row>
    <row r="6" spans="1:8" x14ac:dyDescent="0.2">
      <c r="A6" s="224" t="s">
        <v>1</v>
      </c>
      <c r="B6" s="225"/>
      <c r="C6" s="230">
        <f>Year1!C6</f>
        <v>0</v>
      </c>
      <c r="D6" s="230"/>
      <c r="E6" s="230"/>
      <c r="F6" s="230"/>
      <c r="G6" s="230"/>
      <c r="H6" s="230"/>
    </row>
    <row r="7" spans="1:8" x14ac:dyDescent="0.2">
      <c r="A7" s="224" t="s">
        <v>2</v>
      </c>
      <c r="B7" s="239">
        <f>Year1!B7</f>
        <v>0</v>
      </c>
      <c r="C7" s="230"/>
      <c r="D7" s="230"/>
      <c r="E7" s="230"/>
      <c r="F7" s="230"/>
      <c r="G7" s="230"/>
      <c r="H7" s="229"/>
    </row>
    <row r="8" spans="1:8" x14ac:dyDescent="0.2">
      <c r="A8" s="224" t="s">
        <v>77</v>
      </c>
      <c r="B8" s="226">
        <f>Year1!D8+1</f>
        <v>46569</v>
      </c>
      <c r="C8" s="291" t="str">
        <f>Year1!C8</f>
        <v>through</v>
      </c>
      <c r="D8" s="226">
        <f>DATE(YEAR(B8)+1,MONTH(B8)-1+1,0)</f>
        <v>46934</v>
      </c>
      <c r="E8" s="229"/>
      <c r="F8" s="229"/>
      <c r="G8" s="229"/>
      <c r="H8" s="229"/>
    </row>
    <row r="9" spans="1:8" x14ac:dyDescent="0.2">
      <c r="A9" s="304" t="s">
        <v>3</v>
      </c>
      <c r="B9" s="305"/>
      <c r="C9" s="306" t="str">
        <f>Year1!C9</f>
        <v>On Campus Rate to 7/1//22-6/30/24 and until further notice</v>
      </c>
      <c r="D9" s="229"/>
      <c r="E9" s="229"/>
      <c r="F9" s="229"/>
      <c r="G9" s="229"/>
      <c r="H9" s="229"/>
    </row>
    <row r="10" spans="1:8" x14ac:dyDescent="0.2">
      <c r="A10" s="224" t="s">
        <v>200</v>
      </c>
      <c r="B10" s="225"/>
      <c r="C10" s="225" t="str">
        <f>Year1!C10</f>
        <v>Modified Total Direct Costs</v>
      </c>
      <c r="D10" s="225" t="str">
        <f>Year1!D10</f>
        <v>Federal</v>
      </c>
      <c r="E10" s="225"/>
      <c r="F10" s="225"/>
      <c r="G10" s="225"/>
      <c r="H10" s="225"/>
    </row>
    <row r="11" spans="1:8" ht="25.5" x14ac:dyDescent="0.2">
      <c r="A11" s="3" t="s">
        <v>5</v>
      </c>
      <c r="B11" s="14" t="s">
        <v>1190</v>
      </c>
      <c r="D11" s="426" t="s">
        <v>1186</v>
      </c>
      <c r="E11" s="71" t="s">
        <v>6</v>
      </c>
      <c r="F11" s="71" t="s">
        <v>199</v>
      </c>
      <c r="G11" s="71" t="s">
        <v>7</v>
      </c>
      <c r="H11" s="72" t="s">
        <v>8</v>
      </c>
    </row>
    <row r="12" spans="1:8" x14ac:dyDescent="0.2">
      <c r="A12" s="4" t="s">
        <v>4</v>
      </c>
      <c r="B12" s="225" t="str">
        <f>Year1!B12</f>
        <v>Academic</v>
      </c>
      <c r="C12" s="462" t="str">
        <f>Year1!C12</f>
        <v>Blank</v>
      </c>
      <c r="D12" s="262" t="str">
        <f>Year1!D12</f>
        <v>No</v>
      </c>
      <c r="E12" s="213">
        <f>Year1!E12</f>
        <v>0</v>
      </c>
      <c r="F12" s="424">
        <f>Year1!F12*1.04</f>
        <v>0</v>
      </c>
      <c r="G12" s="215">
        <f>Year1!G12</f>
        <v>1</v>
      </c>
      <c r="H12" s="11">
        <f>IF(AND($D$12="Yes",$F$12&gt;=Reference!$L$2),((Reference!$L$2)*$E$12*$G$12),$F$12*$E$12*$G$12)</f>
        <v>0</v>
      </c>
    </row>
    <row r="13" spans="1:8" x14ac:dyDescent="0.2">
      <c r="A13" s="5"/>
      <c r="B13" s="225" t="str">
        <f>Year1!B13</f>
        <v>Academic</v>
      </c>
      <c r="C13" s="462" t="str">
        <f>Year1!C13</f>
        <v>Blank</v>
      </c>
      <c r="D13" s="262" t="str">
        <f>Year1!D13</f>
        <v>No</v>
      </c>
      <c r="E13" s="213">
        <f>Year1!E13</f>
        <v>0</v>
      </c>
      <c r="F13" s="424">
        <f>Year1!F13*1.04</f>
        <v>0</v>
      </c>
      <c r="G13" s="215">
        <f>Year1!G13</f>
        <v>1</v>
      </c>
      <c r="H13" s="11">
        <f>IF(AND($D$13="Yes",$F$13&gt;=Reference!$L$2),((Reference!$L$2)*$E$13*$G$13),$F$13*$E$13*$G$13)</f>
        <v>0</v>
      </c>
    </row>
    <row r="14" spans="1:8" x14ac:dyDescent="0.2">
      <c r="A14" s="5"/>
      <c r="B14" s="225" t="str">
        <f>Year1!B14</f>
        <v>Academic</v>
      </c>
      <c r="C14" s="462" t="str">
        <f>Year1!C14</f>
        <v>Blank</v>
      </c>
      <c r="D14" s="262" t="str">
        <f>Year1!D14</f>
        <v>No</v>
      </c>
      <c r="E14" s="213">
        <f>Year1!E14</f>
        <v>0</v>
      </c>
      <c r="F14" s="424">
        <f>Year1!F14*1.04</f>
        <v>0</v>
      </c>
      <c r="G14" s="215">
        <f>Year1!G14</f>
        <v>1</v>
      </c>
      <c r="H14" s="11">
        <f>IF(AND($D$14="Yes",$F$14&gt;=Reference!$L$2),((Reference!$L$2)*$E$14*$G$14),$F$14*$E$14*$G$14)</f>
        <v>0</v>
      </c>
    </row>
    <row r="15" spans="1:8" x14ac:dyDescent="0.2">
      <c r="A15" s="5"/>
      <c r="B15" s="225" t="str">
        <f>Year1!B15</f>
        <v>Academic</v>
      </c>
      <c r="C15" s="462" t="str">
        <f>Year1!C15</f>
        <v>Blank</v>
      </c>
      <c r="D15" s="262" t="str">
        <f>Year1!D15</f>
        <v>No</v>
      </c>
      <c r="E15" s="213">
        <f>Year1!E15</f>
        <v>0</v>
      </c>
      <c r="F15" s="424">
        <f>Year1!F15*1.04</f>
        <v>0</v>
      </c>
      <c r="G15" s="215">
        <f>Year1!G15</f>
        <v>1</v>
      </c>
      <c r="H15" s="11">
        <f>IF(AND($D$15="Yes",$F$15&gt;=Reference!$L$2),((Reference!$L$2)*$E$15*$G$15),$F$15*$E$15*$G$15)</f>
        <v>0</v>
      </c>
    </row>
    <row r="16" spans="1:8" x14ac:dyDescent="0.2">
      <c r="A16" s="5"/>
      <c r="B16" s="225" t="str">
        <f>Year1!B16</f>
        <v>Academic</v>
      </c>
      <c r="C16" s="462" t="str">
        <f>Year1!C16</f>
        <v>Blank</v>
      </c>
      <c r="D16" s="262" t="str">
        <f>Year1!D16</f>
        <v>No</v>
      </c>
      <c r="E16" s="213">
        <f>Year1!E16</f>
        <v>0</v>
      </c>
      <c r="F16" s="424">
        <f>Year1!F16*1.04</f>
        <v>0</v>
      </c>
      <c r="G16" s="215">
        <f>Year1!G16</f>
        <v>1</v>
      </c>
      <c r="H16" s="11">
        <f>IF(AND($D$16="Yes",$F$16&gt;=Reference!$L$2),((Reference!$L$2)*$E$16*$G$16),$F$16*$E$16*$G$16)</f>
        <v>0</v>
      </c>
    </row>
    <row r="17" spans="1:8" x14ac:dyDescent="0.2">
      <c r="A17" s="5"/>
      <c r="B17" s="225" t="str">
        <f>Year1!B17</f>
        <v>Academic</v>
      </c>
      <c r="C17" s="462" t="str">
        <f>Year1!C17</f>
        <v>Blank</v>
      </c>
      <c r="D17" s="262" t="str">
        <f>Year1!D17</f>
        <v>No</v>
      </c>
      <c r="E17" s="213">
        <f>Year1!E17</f>
        <v>0</v>
      </c>
      <c r="F17" s="424">
        <f>Year1!F17*1.04</f>
        <v>0</v>
      </c>
      <c r="G17" s="215">
        <f>Year1!G17</f>
        <v>1</v>
      </c>
      <c r="H17" s="11">
        <f>IF(AND($D$17="Yes",$F$17&gt;=Reference!$L$2),((Reference!$L$2)*$E$17*$G$17),$F$17*$E$17*$G$17)</f>
        <v>0</v>
      </c>
    </row>
    <row r="18" spans="1:8" x14ac:dyDescent="0.2">
      <c r="A18" s="5"/>
      <c r="B18" s="225" t="str">
        <f>Year1!B18</f>
        <v>Academic</v>
      </c>
      <c r="C18" s="462" t="str">
        <f>Year1!C18</f>
        <v>Blank</v>
      </c>
      <c r="D18" s="262" t="str">
        <f>Year1!D18</f>
        <v>No</v>
      </c>
      <c r="E18" s="213">
        <f>Year1!E18</f>
        <v>0</v>
      </c>
      <c r="F18" s="424">
        <f>Year1!F18*1.04</f>
        <v>0</v>
      </c>
      <c r="G18" s="215">
        <f>Year1!G18</f>
        <v>1</v>
      </c>
      <c r="H18" s="11">
        <f>IF(AND($D$18="Yes",$F$18&gt;=Reference!$L$2),((Reference!$L$2)*$E$18*$G$18),$F$18*$E$18*$G$18)</f>
        <v>0</v>
      </c>
    </row>
    <row r="19" spans="1:8" x14ac:dyDescent="0.2">
      <c r="A19" s="5"/>
      <c r="B19" s="225" t="str">
        <f>Year1!B19</f>
        <v>Calendar</v>
      </c>
      <c r="C19" s="462" t="str">
        <f>Year1!C19</f>
        <v>Blank</v>
      </c>
      <c r="D19" s="262" t="str">
        <f>Year1!D19</f>
        <v>No</v>
      </c>
      <c r="E19" s="213">
        <f>Year1!E19</f>
        <v>0</v>
      </c>
      <c r="F19" s="424">
        <f>Year1!F19*1.04</f>
        <v>0</v>
      </c>
      <c r="G19" s="215">
        <f>Year1!G19</f>
        <v>1</v>
      </c>
      <c r="H19" s="11">
        <f>IF(AND($D$19="Yes",$F$19&gt;=Reference!$L$2),((Reference!$L$2)*$E$19*$G$19),$F$19*$E$19*$G$19)</f>
        <v>0</v>
      </c>
    </row>
    <row r="20" spans="1:8" x14ac:dyDescent="0.2">
      <c r="A20" s="5"/>
      <c r="B20" s="225" t="str">
        <f>Year1!B20</f>
        <v>Calendar</v>
      </c>
      <c r="C20" s="462" t="str">
        <f>Year1!C20</f>
        <v>Blank</v>
      </c>
      <c r="D20" s="262" t="str">
        <f>Year1!D20</f>
        <v>No</v>
      </c>
      <c r="E20" s="213">
        <f>Year1!E20</f>
        <v>0</v>
      </c>
      <c r="F20" s="424">
        <f>Year1!F20*1.04</f>
        <v>0</v>
      </c>
      <c r="G20" s="215">
        <f>Year1!G20</f>
        <v>1</v>
      </c>
      <c r="H20" s="11">
        <f>IF(AND($D$20="Yes",$F$20&gt;=Reference!$L$2),((Reference!$L$2)*$E$20*$G$20),$F$20*$E$20*$G$20)</f>
        <v>0</v>
      </c>
    </row>
    <row r="21" spans="1:8" x14ac:dyDescent="0.2">
      <c r="A21" s="5"/>
      <c r="B21" s="225" t="str">
        <f>Year1!B21</f>
        <v>Recall</v>
      </c>
      <c r="C21" s="462" t="str">
        <f>Year1!C21</f>
        <v>Blank</v>
      </c>
      <c r="D21" s="262" t="str">
        <f>Year1!D21</f>
        <v>No</v>
      </c>
      <c r="E21" s="213">
        <f>Year1!E21</f>
        <v>0</v>
      </c>
      <c r="F21" s="424">
        <f>Year1!F21*1.04</f>
        <v>0</v>
      </c>
      <c r="G21" s="215">
        <f>Year1!G21</f>
        <v>1</v>
      </c>
      <c r="H21" s="11">
        <f>IF(AND($D$21="Yes",$F$21&gt;=Reference!$L$2),((Reference!$L$2)*$E$21*$G$21),$F$21*$E$21*$G$21)</f>
        <v>0</v>
      </c>
    </row>
    <row r="22" spans="1:8" x14ac:dyDescent="0.2">
      <c r="A22" s="5"/>
      <c r="B22" s="225" t="str">
        <f>Year1!B22</f>
        <v>Recall</v>
      </c>
      <c r="C22" s="462" t="str">
        <f>Year1!C22</f>
        <v>Blank</v>
      </c>
      <c r="D22" s="262" t="str">
        <f>Year1!D22</f>
        <v>No</v>
      </c>
      <c r="E22" s="213">
        <f>Year1!E22</f>
        <v>0</v>
      </c>
      <c r="F22" s="424">
        <f>Year1!F22*1.04</f>
        <v>0</v>
      </c>
      <c r="G22" s="215">
        <f>Year1!G22</f>
        <v>1</v>
      </c>
      <c r="H22" s="11">
        <f>IF(AND($D$22="Yes",$F$22&gt;=Reference!$L$2),((Reference!$L$2)*$E$22*$G$22),$F$22*$E$22*$G$22)</f>
        <v>0</v>
      </c>
    </row>
    <row r="23" spans="1:8" x14ac:dyDescent="0.2">
      <c r="A23" s="5"/>
      <c r="C23" s="6"/>
      <c r="D23" s="6"/>
      <c r="E23" s="6"/>
      <c r="F23" s="6"/>
      <c r="G23" s="6" t="s">
        <v>9</v>
      </c>
      <c r="H23" s="10">
        <f>IF(Year1!H8=1,0,SUM(H12:H22))</f>
        <v>0</v>
      </c>
    </row>
    <row r="24" spans="1:8" x14ac:dyDescent="0.2">
      <c r="A24" s="4" t="s">
        <v>10</v>
      </c>
      <c r="H24" s="9"/>
    </row>
    <row r="25" spans="1:8" x14ac:dyDescent="0.2">
      <c r="A25" s="5"/>
      <c r="B25" s="13" t="s">
        <v>11</v>
      </c>
      <c r="C25" s="216">
        <f>Year1!C25</f>
        <v>0</v>
      </c>
      <c r="D25" s="216"/>
      <c r="E25" s="6"/>
      <c r="F25" s="6"/>
      <c r="G25" s="6"/>
      <c r="H25" s="11"/>
    </row>
    <row r="26" spans="1:8" x14ac:dyDescent="0.2">
      <c r="A26" s="5"/>
      <c r="B26" s="6"/>
      <c r="C26" s="452" t="str">
        <f>IF(Year1!C26="GSR Step I","GSR Step II",IF(Year1!C26="GSR Step II","GSR Step III",IF(Year1!C26="GSR Step III","GSR Step III",IF(Year1!C26="GSR Step IV","GSR Step IV",IF(Year1!C26="GSR Step V","GSR Step V",IF(Year1!C26="GSR Step VI","GSR Step VI",0))))))</f>
        <v>GSR Step II</v>
      </c>
      <c r="D26" s="453"/>
      <c r="E26" s="6"/>
      <c r="F26" s="6"/>
      <c r="G26" s="6"/>
      <c r="H26" s="11"/>
    </row>
    <row r="27" spans="1:8" x14ac:dyDescent="0.2">
      <c r="A27" s="5"/>
      <c r="B27" s="85" t="str">
        <f>IF(OR(Year2!C27="August",Year2!C27="June",Year2!C27="July - August",Year2!C27="June - August",Year2!C27="June - July"),"Summer","Academic")</f>
        <v>Summer</v>
      </c>
      <c r="C27" s="230" t="str">
        <f>Year1!C27</f>
        <v>July - August</v>
      </c>
      <c r="D27" s="230" t="str">
        <f t="array" ref="D27">INDEX(Academic_Year,MATCH($B$8&amp;$C$27,DATE_COLUMN&amp;Calendar_Months,0))</f>
        <v>2026-2027</v>
      </c>
      <c r="E27" s="60">
        <f>INDEX(Number_Months,MATCH(C27,Time_Periods,0))</f>
        <v>2</v>
      </c>
      <c r="F27" s="424">
        <f t="array" ref="F27">INDEX(Salary,MATCH(C26&amp;D27,Range1&amp;Range2,0))</f>
        <v>7028</v>
      </c>
      <c r="G27" s="208">
        <f>Year1!G27</f>
        <v>0.5</v>
      </c>
      <c r="H27" s="11">
        <f>C25*E27*F27*G27</f>
        <v>0</v>
      </c>
    </row>
    <row r="28" spans="1:8" x14ac:dyDescent="0.2">
      <c r="A28" s="5"/>
      <c r="B28" s="85" t="str">
        <f>IF(OR(Year2!C28="August",Year2!C28="June",Year2!C28="July - August",Year2!C28="June - August",Year2!C28="June - July"),"Summer","Academic")</f>
        <v>Academic</v>
      </c>
      <c r="C28" s="229" t="str">
        <f>Year1!C28</f>
        <v>September</v>
      </c>
      <c r="D28" s="229" t="str">
        <f t="array" ref="D28">INDEX(Academic_Year,MATCH($B$8&amp;$C$28,DATE_COLUMN&amp;Calendar_Months,0))</f>
        <v>2026-2027</v>
      </c>
      <c r="E28" s="60">
        <f>INDEX(Number_Months,MATCH(C28,Time_Periods,0))</f>
        <v>1</v>
      </c>
      <c r="F28" s="424">
        <f t="array" ref="F28">INDEX(Salary,MATCH(C26&amp;D28,Range1&amp;Range2,0))</f>
        <v>7028</v>
      </c>
      <c r="G28" s="208">
        <f>Year1!G28</f>
        <v>0.5</v>
      </c>
      <c r="H28" s="11">
        <f>C25*E28*F28*G28</f>
        <v>0</v>
      </c>
    </row>
    <row r="29" spans="1:8" x14ac:dyDescent="0.2">
      <c r="A29" s="5"/>
      <c r="B29" s="85" t="str">
        <f>IF(OR(Year2!C29="August",Year2!C29="June",Year2!C29="July - August",Year2!C29="June - August",Year2!C29="June - July"),"Summer","Academic")</f>
        <v>Academic</v>
      </c>
      <c r="C29" s="229" t="str">
        <f>Year1!C29</f>
        <v>October - December</v>
      </c>
      <c r="D29" s="229" t="str">
        <f t="array" ref="D29">INDEX(Academic_Year,MATCH($B$8&amp;$C$29,DATE_COLUMN&amp;Calendar_Months,0))</f>
        <v>2027-2028</v>
      </c>
      <c r="E29" s="60">
        <f>INDEX(Number_Months,MATCH(C29,Time_Periods,0))</f>
        <v>3</v>
      </c>
      <c r="F29" s="424">
        <f t="array" ref="F29">INDEX(Salary,MATCH(C26&amp;D29,Range1&amp;Range2,0))</f>
        <v>7478</v>
      </c>
      <c r="G29" s="208">
        <f>Year1!G29</f>
        <v>0.5</v>
      </c>
      <c r="H29" s="11">
        <f>C25*E29*F29*G29</f>
        <v>0</v>
      </c>
    </row>
    <row r="30" spans="1:8" x14ac:dyDescent="0.2">
      <c r="A30" s="5"/>
      <c r="B30" s="85" t="str">
        <f>IF(OR(Year2!C30="August",Year2!C30="June",Year2!C30="July - August",Year2!C30="June - August",Year2!C30="June - July"),"Summer","Academic")</f>
        <v>Academic</v>
      </c>
      <c r="C30" s="229" t="str">
        <f>Year1!C30</f>
        <v>January - May</v>
      </c>
      <c r="D30" s="229" t="str">
        <f t="array" ref="D30">INDEX(Academic_Year,MATCH($B$8&amp;$C$30,DATE_COLUMN&amp;Calendar_Months,0))</f>
        <v>2027-2028</v>
      </c>
      <c r="E30" s="60">
        <f>INDEX(Number_Months,MATCH(C30,Time_Periods,0))</f>
        <v>5</v>
      </c>
      <c r="F30" s="424">
        <f t="array" ref="F30">INDEX(Salary,MATCH(C26&amp;D30,Range1&amp;Range2,0))</f>
        <v>7478</v>
      </c>
      <c r="G30" s="208">
        <f>Year1!G30</f>
        <v>0.5</v>
      </c>
      <c r="H30" s="11">
        <f>C25*E30*F30*G30</f>
        <v>0</v>
      </c>
    </row>
    <row r="31" spans="1:8" x14ac:dyDescent="0.2">
      <c r="A31" s="5"/>
      <c r="B31" s="85" t="str">
        <f>IF(OR(Year2!C31="August",Year2!C31="June",Year2!C31="July - August",Year2!C31="June - August",Year2!C31="June - July"),"Summer","Academic")</f>
        <v>Summer</v>
      </c>
      <c r="C31" s="229" t="str">
        <f>Year1!C31</f>
        <v>June</v>
      </c>
      <c r="D31" s="229" t="str">
        <f t="array" ref="D31">INDEX(Academic_Year,MATCH($B$8&amp;$C$31,DATE_COLUMN&amp;Calendar_Months,0))</f>
        <v>2027-2028</v>
      </c>
      <c r="E31" s="60">
        <f>INDEX(Number_Months,MATCH(C31,Time_Periods,0))</f>
        <v>1</v>
      </c>
      <c r="F31" s="424">
        <f t="array" ref="F31">INDEX(Salary,MATCH(C26&amp;D31,Range1&amp;Range2,0))</f>
        <v>7478</v>
      </c>
      <c r="G31" s="208">
        <f>Year1!G31</f>
        <v>0.5</v>
      </c>
      <c r="H31" s="11">
        <f>C25*E31*F31*G31</f>
        <v>0</v>
      </c>
    </row>
    <row r="32" spans="1:8" x14ac:dyDescent="0.2">
      <c r="A32" s="5"/>
      <c r="B32" s="6"/>
      <c r="C32" s="6"/>
      <c r="D32" s="6"/>
      <c r="E32" s="60">
        <f>SUM(E27:E31)</f>
        <v>12</v>
      </c>
      <c r="F32" s="22"/>
      <c r="G32" s="59" t="s">
        <v>9</v>
      </c>
      <c r="H32" s="58">
        <f>SUM(H27:H31)</f>
        <v>0</v>
      </c>
    </row>
    <row r="33" spans="1:8" x14ac:dyDescent="0.2">
      <c r="A33" s="5"/>
      <c r="B33" s="13" t="s">
        <v>11</v>
      </c>
      <c r="C33" s="216">
        <f>Year1!C33</f>
        <v>0</v>
      </c>
      <c r="D33" s="216"/>
      <c r="E33" s="6"/>
      <c r="F33" s="6"/>
      <c r="G33" s="6"/>
      <c r="H33" s="11"/>
    </row>
    <row r="34" spans="1:8" x14ac:dyDescent="0.2">
      <c r="A34" s="5"/>
      <c r="B34" s="6"/>
      <c r="C34" s="452" t="str">
        <f>IF(Year1!C34="GSR Step I","GSR Step II",IF(Year1!C34="GSR Step II","GSR Step III",IF(Year1!C34="GSR Step III","GSR Step III",IF(Year1!C34="GSR Step IV","GSR Step IV",IF(Year1!C34="GSR Step V","GSR Step V",IF(Year1!C34="GSR Step VI","GSR Step VI",0))))))</f>
        <v>GSR Step VI</v>
      </c>
      <c r="D34" s="453"/>
      <c r="E34" s="6"/>
      <c r="F34" s="6"/>
      <c r="G34" s="6"/>
      <c r="H34" s="11"/>
    </row>
    <row r="35" spans="1:8" x14ac:dyDescent="0.2">
      <c r="A35" s="5"/>
      <c r="B35" s="85" t="str">
        <f>IF(OR(Year2!C35="August",Year2!C35="June",Year2!C35="July - August",Year2!C35="June - August",Year2!C35="June - July"),"Summer","Academic")</f>
        <v>Summer</v>
      </c>
      <c r="C35" s="229" t="str">
        <f>Year1!C35</f>
        <v>July - August</v>
      </c>
      <c r="D35" s="229" t="str">
        <f t="array" ref="D35">INDEX(Academic_Year,MATCH($B$8&amp;$C$35,DATE_COLUMN&amp;Calendar_Months,0))</f>
        <v>2026-2027</v>
      </c>
      <c r="E35" s="60">
        <f>INDEX(Number_Months,MATCH(C35,Time_Periods,0))</f>
        <v>2</v>
      </c>
      <c r="F35" s="424">
        <f t="array" ref="F35">INDEX(Salary,MATCH(C34&amp;D35,Range1&amp;Range2,0))</f>
        <v>9473</v>
      </c>
      <c r="G35" s="208">
        <f>Year1!G35</f>
        <v>0.5</v>
      </c>
      <c r="H35" s="11">
        <f>C33*E35*F35*G35</f>
        <v>0</v>
      </c>
    </row>
    <row r="36" spans="1:8" x14ac:dyDescent="0.2">
      <c r="A36" s="5"/>
      <c r="B36" s="85" t="str">
        <f>IF(OR(Year2!C36="August",Year2!C36="June",Year2!C36="July - August",Year2!C36="June - August",Year2!C36="June - July"),"Summer","Academic")</f>
        <v>Academic</v>
      </c>
      <c r="C36" s="229" t="str">
        <f>Year1!C36</f>
        <v>September</v>
      </c>
      <c r="D36" s="229" t="str">
        <f t="array" ref="D36">INDEX(Academic_Year,MATCH($B$8&amp;$C$36,DATE_COLUMN&amp;Calendar_Months,0))</f>
        <v>2026-2027</v>
      </c>
      <c r="E36" s="60">
        <f>INDEX(Number_Months,MATCH(C36,Time_Periods,0))</f>
        <v>1</v>
      </c>
      <c r="F36" s="424">
        <f t="array" ref="F36">INDEX(Salary,MATCH(C34&amp;D36,Range1&amp;Range2,0))</f>
        <v>9473</v>
      </c>
      <c r="G36" s="208">
        <f>Year1!G36</f>
        <v>0.5</v>
      </c>
      <c r="H36" s="11">
        <f>C33*E36*F36*G36</f>
        <v>0</v>
      </c>
    </row>
    <row r="37" spans="1:8" x14ac:dyDescent="0.2">
      <c r="A37" s="5"/>
      <c r="B37" s="85" t="str">
        <f>IF(OR(Year2!C37="August",Year2!C37="June",Year2!C37="July - August",Year2!C37="June - August",Year2!C37="June - July"),"Summer","Academic")</f>
        <v>Academic</v>
      </c>
      <c r="C37" s="229" t="str">
        <f>Year1!C37</f>
        <v>October - December</v>
      </c>
      <c r="D37" s="229" t="str">
        <f t="array" ref="D37">INDEX(Academic_Year,MATCH($B$8&amp;$C$37,DATE_COLUMN&amp;Calendar_Months,0))</f>
        <v>2027-2028</v>
      </c>
      <c r="E37" s="60">
        <f>INDEX(Number_Months,MATCH(C37,Time_Periods,0))</f>
        <v>3</v>
      </c>
      <c r="F37" s="424">
        <f t="array" ref="F37">INDEX(Salary,MATCH(C34&amp;D37,Range1&amp;Range2,0))</f>
        <v>10079</v>
      </c>
      <c r="G37" s="208">
        <f>Year1!G37</f>
        <v>0.5</v>
      </c>
      <c r="H37" s="11">
        <f>C33*E37*F37*G37</f>
        <v>0</v>
      </c>
    </row>
    <row r="38" spans="1:8" x14ac:dyDescent="0.2">
      <c r="A38" s="5"/>
      <c r="B38" s="85" t="str">
        <f>IF(OR(Year2!C38="August",Year2!C38="June",Year2!C38="July - August",Year2!C38="June - August",Year2!C38="June - July"),"Summer","Academic")</f>
        <v>Academic</v>
      </c>
      <c r="C38" s="229" t="str">
        <f>Year1!C38</f>
        <v>January - May</v>
      </c>
      <c r="D38" s="229" t="str">
        <f t="array" ref="D38">INDEX(Academic_Year,MATCH($B$8&amp;$C$38,DATE_COLUMN&amp;Calendar_Months,0))</f>
        <v>2027-2028</v>
      </c>
      <c r="E38" s="60">
        <f>INDEX(Number_Months,MATCH(C38,Time_Periods,0))</f>
        <v>5</v>
      </c>
      <c r="F38" s="424">
        <f t="array" ref="F38">INDEX(Salary,MATCH(C34&amp;D38,Range1&amp;Range2,0))</f>
        <v>10079</v>
      </c>
      <c r="G38" s="208">
        <f>Year1!G38</f>
        <v>0.5</v>
      </c>
      <c r="H38" s="11">
        <f>C33*E38*F38*G38</f>
        <v>0</v>
      </c>
    </row>
    <row r="39" spans="1:8" x14ac:dyDescent="0.2">
      <c r="A39" s="5"/>
      <c r="B39" s="85" t="str">
        <f>IF(OR(Year2!C39="August",Year2!C39="June",Year2!C39="July - August",Year2!C39="June - August",Year2!C39="June - July"),"Summer","Academic")</f>
        <v>Summer</v>
      </c>
      <c r="C39" s="229" t="str">
        <f>Year1!C39</f>
        <v>June</v>
      </c>
      <c r="D39" s="229" t="str">
        <f t="array" ref="D39">INDEX(Academic_Year,MATCH($B$8&amp;$C$39,DATE_COLUMN&amp;Calendar_Months,0))</f>
        <v>2027-2028</v>
      </c>
      <c r="E39" s="60">
        <f>INDEX(Number_Months,MATCH(C39,Time_Periods,0))</f>
        <v>1</v>
      </c>
      <c r="F39" s="424">
        <f t="array" ref="F39">INDEX(Salary,MATCH(C34&amp;D39,Range1&amp;Range2,0))</f>
        <v>10079</v>
      </c>
      <c r="G39" s="208">
        <f>Year1!G39</f>
        <v>0.5</v>
      </c>
      <c r="H39" s="11">
        <f>C33*E39*F39*G39</f>
        <v>0</v>
      </c>
    </row>
    <row r="40" spans="1:8" x14ac:dyDescent="0.2">
      <c r="A40" s="5"/>
      <c r="B40" s="6"/>
      <c r="C40" s="6"/>
      <c r="D40" s="6"/>
      <c r="E40" s="60">
        <f>SUM(E35:E39)</f>
        <v>12</v>
      </c>
      <c r="F40" s="22"/>
      <c r="G40" s="22" t="s">
        <v>9</v>
      </c>
      <c r="H40" s="58">
        <f>SUM(H35:H39)</f>
        <v>0</v>
      </c>
    </row>
    <row r="41" spans="1:8" x14ac:dyDescent="0.2">
      <c r="A41" s="5"/>
      <c r="B41" s="13" t="s">
        <v>11</v>
      </c>
      <c r="C41" s="216">
        <f>Year1!C41</f>
        <v>0</v>
      </c>
      <c r="D41" s="217"/>
      <c r="E41" s="6"/>
      <c r="F41" s="6"/>
      <c r="G41" s="6"/>
      <c r="H41" s="11"/>
    </row>
    <row r="42" spans="1:8" x14ac:dyDescent="0.2">
      <c r="A42" s="5"/>
      <c r="B42" s="6"/>
      <c r="C42" s="452" t="str">
        <f>IF(Year1!C42="GSR Step I","GSR Step II",IF(Year1!C42="GSR Step II","GSR Step III",IF(Year1!C42="GSR Step III","GSR Step III",IF(Year1!C42="GSR Step IV","GSR Step IV",IF(Year1!C42="GSR Step V","GSR Step V",IF(Year1!C42="GSR Step VI","GSR Step VI",0))))))</f>
        <v>GSR Step II</v>
      </c>
      <c r="D42" s="453"/>
      <c r="E42" s="6"/>
      <c r="F42" s="6"/>
      <c r="G42" s="6"/>
      <c r="H42" s="11"/>
    </row>
    <row r="43" spans="1:8" x14ac:dyDescent="0.2">
      <c r="A43" s="5"/>
      <c r="B43" s="85" t="str">
        <f>IF(OR(Year2!C43="August",Year2!C43="June",Year2!C43="July - August",Year2!C43="June - August",Year2!C43="June - July"),"Summer","Academic")</f>
        <v>Summer</v>
      </c>
      <c r="C43" s="229" t="str">
        <f>Year1!C43</f>
        <v>July - August</v>
      </c>
      <c r="D43" s="229" t="str">
        <f t="array" ref="D43">INDEX(Academic_Year,MATCH($B$8&amp;$C$27,DATE_COLUMN&amp;Calendar_Months,0))</f>
        <v>2026-2027</v>
      </c>
      <c r="E43" s="60">
        <f>INDEX(Number_Months,MATCH(C43,Time_Periods,0))</f>
        <v>2</v>
      </c>
      <c r="F43" s="424">
        <f t="array" ref="F43">INDEX(Salary,MATCH(C42&amp;D43,Range1&amp;Range2,0))</f>
        <v>7028</v>
      </c>
      <c r="G43" s="208">
        <f>Year1!G43</f>
        <v>0.5</v>
      </c>
      <c r="H43" s="11">
        <f>C41*E43*F43*G43</f>
        <v>0</v>
      </c>
    </row>
    <row r="44" spans="1:8" x14ac:dyDescent="0.2">
      <c r="A44" s="5"/>
      <c r="B44" s="85" t="str">
        <f>IF(OR(Year2!C44="August",Year2!C44="June",Year2!C44="July - August",Year2!C44="June - August",Year2!C44="June - July"),"Summer","Academic")</f>
        <v>Academic</v>
      </c>
      <c r="C44" s="229" t="str">
        <f>Year1!C44</f>
        <v>September</v>
      </c>
      <c r="D44" s="229" t="str">
        <f t="array" ref="D44">INDEX(Academic_Year,MATCH($B$8&amp;$C$28,DATE_COLUMN&amp;Calendar_Months,0))</f>
        <v>2026-2027</v>
      </c>
      <c r="E44" s="60">
        <f>INDEX(Number_Months,MATCH(C44,Time_Periods,0))</f>
        <v>1</v>
      </c>
      <c r="F44" s="424">
        <f t="array" ref="F44">INDEX(Salary,MATCH(C42&amp;D44,Range1&amp;Range2,0))</f>
        <v>7028</v>
      </c>
      <c r="G44" s="208">
        <f>Year1!G44</f>
        <v>0.5</v>
      </c>
      <c r="H44" s="11">
        <f>C41*E44*F44*G44</f>
        <v>0</v>
      </c>
    </row>
    <row r="45" spans="1:8" x14ac:dyDescent="0.2">
      <c r="A45" s="5"/>
      <c r="B45" s="85" t="str">
        <f>IF(OR(Year2!C45="August",Year2!C45="June",Year2!C45="July - August",Year2!C45="June - August",Year2!C45="June - July"),"Summer","Academic")</f>
        <v>Academic</v>
      </c>
      <c r="C45" s="229" t="str">
        <f>Year1!C45</f>
        <v>October - December</v>
      </c>
      <c r="D45" s="229" t="str">
        <f t="array" ref="D45">INDEX(Academic_Year,MATCH($B$8&amp;$C$29,DATE_COLUMN&amp;Calendar_Months,0))</f>
        <v>2027-2028</v>
      </c>
      <c r="E45" s="60">
        <f>INDEX(Number_Months,MATCH(C45,Time_Periods,0))</f>
        <v>3</v>
      </c>
      <c r="F45" s="424">
        <f t="array" ref="F45">INDEX(Salary,MATCH(C42&amp;D45,Range1&amp;Range2,0))</f>
        <v>7478</v>
      </c>
      <c r="G45" s="208">
        <f>Year1!G45</f>
        <v>0.5</v>
      </c>
      <c r="H45" s="11">
        <f>C41*E45*F45*G45</f>
        <v>0</v>
      </c>
    </row>
    <row r="46" spans="1:8" x14ac:dyDescent="0.2">
      <c r="A46" s="5"/>
      <c r="B46" s="85" t="str">
        <f>IF(OR(Year2!C46="August",Year2!C46="June",Year2!C46="July - August",Year2!C46="June - August",Year2!C46="June - July"),"Summer","Academic")</f>
        <v>Academic</v>
      </c>
      <c r="C46" s="229" t="str">
        <f>Year1!C46</f>
        <v>January - May</v>
      </c>
      <c r="D46" s="229" t="str">
        <f t="array" ref="D46">INDEX(Academic_Year,MATCH($B$8&amp;$C$30,DATE_COLUMN&amp;Calendar_Months,0))</f>
        <v>2027-2028</v>
      </c>
      <c r="E46" s="60">
        <f>INDEX(Number_Months,MATCH(C46,Time_Periods,0))</f>
        <v>5</v>
      </c>
      <c r="F46" s="424">
        <f t="array" ref="F46">INDEX(Salary,MATCH(C42&amp;D46,Range1&amp;Range2,0))</f>
        <v>7478</v>
      </c>
      <c r="G46" s="208">
        <f>Year1!G46</f>
        <v>0.5</v>
      </c>
      <c r="H46" s="11">
        <f>C41*E46*F46*G46</f>
        <v>0</v>
      </c>
    </row>
    <row r="47" spans="1:8" x14ac:dyDescent="0.2">
      <c r="A47" s="5"/>
      <c r="B47" s="85" t="str">
        <f>IF(OR(Year2!C47="August",Year2!C47="June",Year2!C47="July - August",Year2!C47="June - August",Year2!C47="June - July"),"Summer","Academic")</f>
        <v>Summer</v>
      </c>
      <c r="C47" s="229" t="str">
        <f>Year1!C47</f>
        <v>June</v>
      </c>
      <c r="D47" s="229" t="str">
        <f t="array" ref="D47">INDEX(Academic_Year,MATCH($B$8&amp;$C$31,DATE_COLUMN&amp;Calendar_Months,0))</f>
        <v>2027-2028</v>
      </c>
      <c r="E47" s="60">
        <f>INDEX(Number_Months,MATCH(C47,Time_Periods,0))</f>
        <v>1</v>
      </c>
      <c r="F47" s="424">
        <f t="array" ref="F47">INDEX(Salary,MATCH(C42&amp;D47,Range1&amp;Range2,0))</f>
        <v>7478</v>
      </c>
      <c r="G47" s="208">
        <f>Year1!G47</f>
        <v>0.5</v>
      </c>
      <c r="H47" s="11">
        <f>C41*E47*F47*G47</f>
        <v>0</v>
      </c>
    </row>
    <row r="48" spans="1:8" x14ac:dyDescent="0.2">
      <c r="A48" s="5"/>
      <c r="B48" s="6"/>
      <c r="C48" s="6"/>
      <c r="D48" s="6"/>
      <c r="E48" s="60">
        <f>SUM(E43:E47)</f>
        <v>12</v>
      </c>
      <c r="F48" s="22"/>
      <c r="G48" s="59" t="s">
        <v>9</v>
      </c>
      <c r="H48" s="58">
        <f>SUM(H43:H47)</f>
        <v>0</v>
      </c>
    </row>
    <row r="49" spans="1:8" x14ac:dyDescent="0.2">
      <c r="A49" s="5"/>
      <c r="B49" s="13" t="s">
        <v>11</v>
      </c>
      <c r="C49" s="216">
        <f>Year1!C49</f>
        <v>0</v>
      </c>
      <c r="D49" s="216"/>
      <c r="E49" s="6"/>
      <c r="F49" s="6"/>
      <c r="G49" s="6"/>
      <c r="H49" s="11"/>
    </row>
    <row r="50" spans="1:8" x14ac:dyDescent="0.2">
      <c r="A50" s="5"/>
      <c r="B50" s="6"/>
      <c r="C50" s="452" t="str">
        <f>IF(Year1!C50="GSR Step I","GSR Step II",IF(Year1!C50="GSR Step II","GSR Step III",IF(Year1!C50="GSR Step III","GSR Step III",IF(Year1!C50="GSR Step IV","GSR Step IV",IF(Year1!C50="GSR Step V","GSR Step V",IF(Year1!C50="GSR Step VI","GSR Step VI",0))))))</f>
        <v>GSR Step II</v>
      </c>
      <c r="D50" s="453"/>
      <c r="E50" s="6"/>
      <c r="F50" s="6"/>
      <c r="G50" s="6"/>
      <c r="H50" s="11"/>
    </row>
    <row r="51" spans="1:8" x14ac:dyDescent="0.2">
      <c r="A51" s="5"/>
      <c r="B51" s="85" t="str">
        <f>IF(OR(Year2!C51="August",Year2!C51="June",Year2!C51="July - August",Year2!C51="June - August",Year2!C51="June - July"),"Summer","Academic")</f>
        <v>Summer</v>
      </c>
      <c r="C51" s="229" t="str">
        <f>Year1!C51</f>
        <v>July - August</v>
      </c>
      <c r="D51" s="229" t="str">
        <f t="array" ref="D51">INDEX(Academic_Year,MATCH($B$8&amp;$C$35,DATE_COLUMN&amp;Calendar_Months,0))</f>
        <v>2026-2027</v>
      </c>
      <c r="E51" s="60">
        <f>INDEX(Number_Months,MATCH(C51,Time_Periods,0))</f>
        <v>2</v>
      </c>
      <c r="F51" s="424">
        <f t="array" ref="F51">INDEX(Salary,MATCH(C50&amp;D51,Range1&amp;Range2,0))</f>
        <v>7028</v>
      </c>
      <c r="G51" s="208">
        <f>Year1!G51</f>
        <v>0.5</v>
      </c>
      <c r="H51" s="11">
        <f>C49*E51*F51*G51</f>
        <v>0</v>
      </c>
    </row>
    <row r="52" spans="1:8" x14ac:dyDescent="0.2">
      <c r="A52" s="5"/>
      <c r="B52" s="85" t="str">
        <f>IF(OR(Year2!C52="August",Year2!C52="June",Year2!C52="July - August",Year2!C52="June - August",Year2!C52="June - July"),"Summer","Academic")</f>
        <v>Academic</v>
      </c>
      <c r="C52" s="229" t="str">
        <f>Year1!C52</f>
        <v>September</v>
      </c>
      <c r="D52" s="229" t="str">
        <f t="array" ref="D52">INDEX(Academic_Year,MATCH($B$8&amp;$C$36,DATE_COLUMN&amp;Calendar_Months,0))</f>
        <v>2026-2027</v>
      </c>
      <c r="E52" s="60">
        <f>INDEX(Number_Months,MATCH(C52,Time_Periods,0))</f>
        <v>1</v>
      </c>
      <c r="F52" s="424">
        <f t="array" ref="F52">INDEX(Salary,MATCH(C50&amp;D52,Range1&amp;Range2,0))</f>
        <v>7028</v>
      </c>
      <c r="G52" s="208">
        <f>Year1!G52</f>
        <v>0.5</v>
      </c>
      <c r="H52" s="11">
        <f>C49*E52*F52*G52</f>
        <v>0</v>
      </c>
    </row>
    <row r="53" spans="1:8" x14ac:dyDescent="0.2">
      <c r="A53" s="5"/>
      <c r="B53" s="85" t="str">
        <f>IF(OR(Year2!C53="August",Year2!C53="June",Year2!C53="July - August",Year2!C53="June - August",Year2!C53="June - July"),"Summer","Academic")</f>
        <v>Academic</v>
      </c>
      <c r="C53" s="229" t="str">
        <f>Year1!C53</f>
        <v>October - December</v>
      </c>
      <c r="D53" s="229" t="str">
        <f t="array" ref="D53">INDEX(Academic_Year,MATCH($B$8&amp;$C$37,DATE_COLUMN&amp;Calendar_Months,0))</f>
        <v>2027-2028</v>
      </c>
      <c r="E53" s="60">
        <f>INDEX(Number_Months,MATCH(C53,Time_Periods,0))</f>
        <v>3</v>
      </c>
      <c r="F53" s="424">
        <f t="array" ref="F53">INDEX(Salary,MATCH(C50&amp;D53,Range1&amp;Range2,0))</f>
        <v>7478</v>
      </c>
      <c r="G53" s="208">
        <f>Year1!G53</f>
        <v>0.5</v>
      </c>
      <c r="H53" s="11">
        <f>C49*E53*F53*G53</f>
        <v>0</v>
      </c>
    </row>
    <row r="54" spans="1:8" x14ac:dyDescent="0.2">
      <c r="A54" s="5"/>
      <c r="B54" s="85" t="str">
        <f>IF(OR(Year2!C54="August",Year2!C54="June",Year2!C54="July - August",Year2!C54="June - August",Year2!C54="June - July"),"Summer","Academic")</f>
        <v>Academic</v>
      </c>
      <c r="C54" s="229" t="str">
        <f>Year1!C54</f>
        <v>January - May</v>
      </c>
      <c r="D54" s="229" t="str">
        <f t="array" ref="D54">INDEX(Academic_Year,MATCH($B$8&amp;$C$38,DATE_COLUMN&amp;Calendar_Months,0))</f>
        <v>2027-2028</v>
      </c>
      <c r="E54" s="60">
        <f>INDEX(Number_Months,MATCH(C54,Time_Periods,0))</f>
        <v>5</v>
      </c>
      <c r="F54" s="424">
        <f t="array" ref="F54">INDEX(Salary,MATCH(C50&amp;D54,Range1&amp;Range2,0))</f>
        <v>7478</v>
      </c>
      <c r="G54" s="208">
        <f>Year1!G54</f>
        <v>0.5</v>
      </c>
      <c r="H54" s="11">
        <f>C49*E54*F54*G54</f>
        <v>0</v>
      </c>
    </row>
    <row r="55" spans="1:8" x14ac:dyDescent="0.2">
      <c r="A55" s="5"/>
      <c r="B55" s="85" t="str">
        <f>IF(OR(Year2!C55="August",Year2!C55="June",Year2!C55="July - August",Year2!C55="June - August",Year2!C55="June - July"),"Summer","Academic")</f>
        <v>Summer</v>
      </c>
      <c r="C55" s="229" t="str">
        <f>Year1!C55</f>
        <v>June</v>
      </c>
      <c r="D55" s="229" t="str">
        <f t="array" ref="D55">INDEX(Academic_Year,MATCH($B$8&amp;$C$39,DATE_COLUMN&amp;Calendar_Months,0))</f>
        <v>2027-2028</v>
      </c>
      <c r="E55" s="60">
        <f>INDEX(Number_Months,MATCH(C55,Time_Periods,0))</f>
        <v>1</v>
      </c>
      <c r="F55" s="424">
        <f t="array" ref="F55">INDEX(Salary,MATCH(C50&amp;D55,Range1&amp;Range2,0))</f>
        <v>7478</v>
      </c>
      <c r="G55" s="208">
        <f>Year1!G55</f>
        <v>0.5</v>
      </c>
      <c r="H55" s="11">
        <f>C49*E55*F55*G55</f>
        <v>0</v>
      </c>
    </row>
    <row r="56" spans="1:8" x14ac:dyDescent="0.2">
      <c r="A56" s="5"/>
      <c r="B56" s="6"/>
      <c r="C56" s="6"/>
      <c r="D56" s="6"/>
      <c r="E56" s="60">
        <f>SUM(E51:E55)</f>
        <v>12</v>
      </c>
      <c r="F56" s="22"/>
      <c r="G56" s="22" t="s">
        <v>9</v>
      </c>
      <c r="H56" s="58">
        <f>SUM(H51:H55)</f>
        <v>0</v>
      </c>
    </row>
    <row r="57" spans="1:8" x14ac:dyDescent="0.2">
      <c r="A57" s="5"/>
      <c r="B57" s="13" t="s">
        <v>11</v>
      </c>
      <c r="C57" s="216">
        <f>Year1!C57</f>
        <v>0</v>
      </c>
      <c r="D57" s="217"/>
      <c r="E57" s="6"/>
      <c r="F57" s="6"/>
      <c r="G57" s="6"/>
      <c r="H57" s="11"/>
    </row>
    <row r="58" spans="1:8" x14ac:dyDescent="0.2">
      <c r="A58" s="5"/>
      <c r="B58" s="6"/>
      <c r="C58" s="452" t="str">
        <f>IF(Year1!C58="GSR Step I","GSR Step II",IF(Year1!C58="GSR Step II","GSR Step III",IF(Year1!C58="GSR Step III","GSR Step III",IF(Year1!C58="GSR Step IV","GSR Step IV",IF(Year1!C58="GSR Step V","GSR Step V",IF(Year1!C58="GSR Step VI","GSR Step VI",0))))))</f>
        <v>GSR Step II</v>
      </c>
      <c r="D58" s="453"/>
      <c r="E58" s="6"/>
      <c r="F58" s="6"/>
      <c r="G58" s="6"/>
      <c r="H58" s="11"/>
    </row>
    <row r="59" spans="1:8" x14ac:dyDescent="0.2">
      <c r="A59" s="5"/>
      <c r="B59" s="85" t="str">
        <f>IF(OR(Year2!C59="August",Year2!C59="June",Year2!C59="July - August",Year2!C59="June - August",Year2!C59="June - July"),"Summer","Academic")</f>
        <v>Summer</v>
      </c>
      <c r="C59" s="229" t="str">
        <f>Year1!C59</f>
        <v>July - August</v>
      </c>
      <c r="D59" s="229" t="str">
        <f t="array" ref="D59">INDEX(Academic_Year,MATCH($B$8&amp;$C$27,DATE_COLUMN&amp;Calendar_Months,0))</f>
        <v>2026-2027</v>
      </c>
      <c r="E59" s="60">
        <f>INDEX(Number_Months,MATCH(C59,Time_Periods,0))</f>
        <v>2</v>
      </c>
      <c r="F59" s="424">
        <f t="array" ref="F59">INDEX(Salary,MATCH(C58&amp;D59,Range1&amp;Range2,0))</f>
        <v>7028</v>
      </c>
      <c r="G59" s="208">
        <f>Year1!G59</f>
        <v>0.5</v>
      </c>
      <c r="H59" s="11">
        <f>C57*E59*F59*G59</f>
        <v>0</v>
      </c>
    </row>
    <row r="60" spans="1:8" x14ac:dyDescent="0.2">
      <c r="A60" s="5"/>
      <c r="B60" s="85" t="str">
        <f>IF(OR(Year2!C60="August",Year2!C60="June",Year2!C60="July - August",Year2!C60="June - August",Year2!C60="June - July"),"Summer","Academic")</f>
        <v>Academic</v>
      </c>
      <c r="C60" s="229" t="str">
        <f>Year1!C60</f>
        <v>September</v>
      </c>
      <c r="D60" s="229" t="str">
        <f t="array" ref="D60">INDEX(Academic_Year,MATCH($B$8&amp;$C$28,DATE_COLUMN&amp;Calendar_Months,0))</f>
        <v>2026-2027</v>
      </c>
      <c r="E60" s="60">
        <f>INDEX(Number_Months,MATCH(C60,Time_Periods,0))</f>
        <v>1</v>
      </c>
      <c r="F60" s="424">
        <f t="array" ref="F60">INDEX(Salary,MATCH(C58&amp;D60,Range1&amp;Range2,0))</f>
        <v>7028</v>
      </c>
      <c r="G60" s="208">
        <f>Year1!G60</f>
        <v>0.5</v>
      </c>
      <c r="H60" s="11">
        <f>C57*E60*F60*G60</f>
        <v>0</v>
      </c>
    </row>
    <row r="61" spans="1:8" x14ac:dyDescent="0.2">
      <c r="A61" s="5"/>
      <c r="B61" s="85" t="str">
        <f>IF(OR(Year2!C61="August",Year2!C61="June",Year2!C61="July - August",Year2!C61="June - August",Year2!C61="June - July"),"Summer","Academic")</f>
        <v>Academic</v>
      </c>
      <c r="C61" s="229" t="str">
        <f>Year1!C61</f>
        <v>October - December</v>
      </c>
      <c r="D61" s="229" t="str">
        <f t="array" ref="D61">INDEX(Academic_Year,MATCH($B$8&amp;$C$29,DATE_COLUMN&amp;Calendar_Months,0))</f>
        <v>2027-2028</v>
      </c>
      <c r="E61" s="60">
        <f>INDEX(Number_Months,MATCH(C61,Time_Periods,0))</f>
        <v>3</v>
      </c>
      <c r="F61" s="424">
        <f t="array" ref="F61">INDEX(Salary,MATCH(C58&amp;D61,Range1&amp;Range2,0))</f>
        <v>7478</v>
      </c>
      <c r="G61" s="208">
        <f>Year1!G61</f>
        <v>0.5</v>
      </c>
      <c r="H61" s="11">
        <f>C57*E61*F61*G61</f>
        <v>0</v>
      </c>
    </row>
    <row r="62" spans="1:8" x14ac:dyDescent="0.2">
      <c r="A62" s="5"/>
      <c r="B62" s="85" t="str">
        <f>IF(OR(Year2!C62="August",Year2!C62="June",Year2!C62="July - August",Year2!C62="June - August",Year2!C62="June - July"),"Summer","Academic")</f>
        <v>Academic</v>
      </c>
      <c r="C62" s="229" t="str">
        <f>Year1!C62</f>
        <v>January - May</v>
      </c>
      <c r="D62" s="229" t="str">
        <f t="array" ref="D62">INDEX(Academic_Year,MATCH($B$8&amp;$C$30,DATE_COLUMN&amp;Calendar_Months,0))</f>
        <v>2027-2028</v>
      </c>
      <c r="E62" s="60">
        <f>INDEX(Number_Months,MATCH(C62,Time_Periods,0))</f>
        <v>5</v>
      </c>
      <c r="F62" s="424">
        <f t="array" ref="F62">INDEX(Salary,MATCH(C58&amp;D62,Range1&amp;Range2,0))</f>
        <v>7478</v>
      </c>
      <c r="G62" s="208">
        <f>Year1!G62</f>
        <v>0.5</v>
      </c>
      <c r="H62" s="11">
        <f>C57*E62*F62*G62</f>
        <v>0</v>
      </c>
    </row>
    <row r="63" spans="1:8" x14ac:dyDescent="0.2">
      <c r="A63" s="5"/>
      <c r="B63" s="85" t="str">
        <f>IF(OR(Year2!C63="August",Year2!C63="June",Year2!C63="July - August",Year2!C63="June - August",Year2!C63="June - July"),"Summer","Academic")</f>
        <v>Summer</v>
      </c>
      <c r="C63" s="229" t="str">
        <f>Year1!C63</f>
        <v>June</v>
      </c>
      <c r="D63" s="229" t="str">
        <f t="array" ref="D63">INDEX(Academic_Year,MATCH($B$8&amp;$C$31,DATE_COLUMN&amp;Calendar_Months,0))</f>
        <v>2027-2028</v>
      </c>
      <c r="E63" s="60">
        <f>INDEX(Number_Months,MATCH(C63,Time_Periods,0))</f>
        <v>1</v>
      </c>
      <c r="F63" s="424">
        <f t="array" ref="F63">INDEX(Salary,MATCH(C58&amp;D63,Range1&amp;Range2,0))</f>
        <v>7478</v>
      </c>
      <c r="G63" s="208">
        <f>Year1!G63</f>
        <v>0.5</v>
      </c>
      <c r="H63" s="11">
        <f>C57*E63*F63*G63</f>
        <v>0</v>
      </c>
    </row>
    <row r="64" spans="1:8" x14ac:dyDescent="0.2">
      <c r="A64" s="5"/>
      <c r="B64" s="6"/>
      <c r="C64" s="6"/>
      <c r="D64" s="6"/>
      <c r="E64" s="60">
        <f>SUM(E59:E63)</f>
        <v>12</v>
      </c>
      <c r="F64" s="22"/>
      <c r="G64" s="59" t="s">
        <v>9</v>
      </c>
      <c r="H64" s="58">
        <f>SUM(H59:H63)</f>
        <v>0</v>
      </c>
    </row>
    <row r="65" spans="1:8" x14ac:dyDescent="0.2">
      <c r="A65" s="5"/>
      <c r="B65" s="13" t="s">
        <v>11</v>
      </c>
      <c r="C65" s="216">
        <f>Year1!C65</f>
        <v>0</v>
      </c>
      <c r="D65" s="216"/>
      <c r="E65" s="6"/>
      <c r="F65" s="6"/>
      <c r="G65" s="6"/>
      <c r="H65" s="11"/>
    </row>
    <row r="66" spans="1:8" x14ac:dyDescent="0.2">
      <c r="A66" s="5"/>
      <c r="B66" s="6"/>
      <c r="C66" s="452" t="str">
        <f>IF(Year1!C66="GSR Step I","GSR Step II",IF(Year1!C66="GSR Step II","GSR Step III",IF(Year1!C66="GSR Step III","GSR Step III",IF(Year1!C66="GSR Step IV","GSR Step IV",IF(Year1!C66="GSR Step V","GSR Step V",IF(Year1!C66="GSR Step VI","GSR Step VI",0))))))</f>
        <v>GSR Step II</v>
      </c>
      <c r="D66" s="453"/>
      <c r="E66" s="6"/>
      <c r="F66" s="6"/>
      <c r="G66" s="6"/>
      <c r="H66" s="11"/>
    </row>
    <row r="67" spans="1:8" x14ac:dyDescent="0.2">
      <c r="A67" s="5"/>
      <c r="B67" s="85" t="str">
        <f>IF(OR(Year2!C67="August",Year2!C67="June",Year2!C67="July - August",Year2!C67="June - August",Year2!C67="June - July"),"Summer","Academic")</f>
        <v>Summer</v>
      </c>
      <c r="C67" s="229" t="str">
        <f>Year1!C67</f>
        <v>July - August</v>
      </c>
      <c r="D67" s="229" t="str">
        <f t="array" ref="D67">INDEX(Academic_Year,MATCH($B$8&amp;$C$35,DATE_COLUMN&amp;Calendar_Months,0))</f>
        <v>2026-2027</v>
      </c>
      <c r="E67" s="60">
        <f>INDEX(Number_Months,MATCH(C67,Time_Periods,0))</f>
        <v>2</v>
      </c>
      <c r="F67" s="424">
        <f t="array" ref="F67">INDEX(Salary,MATCH(C66&amp;D67,Range1&amp;Range2,0))</f>
        <v>7028</v>
      </c>
      <c r="G67" s="208">
        <f>Year1!G67</f>
        <v>0.5</v>
      </c>
      <c r="H67" s="11">
        <f>C65*E67*F67*G67</f>
        <v>0</v>
      </c>
    </row>
    <row r="68" spans="1:8" x14ac:dyDescent="0.2">
      <c r="A68" s="5"/>
      <c r="B68" s="85" t="str">
        <f>IF(OR(Year2!C68="August",Year2!C68="June",Year2!C68="July - August",Year2!C68="June - August",Year2!C68="June - July"),"Summer","Academic")</f>
        <v>Academic</v>
      </c>
      <c r="C68" s="229" t="str">
        <f>Year1!C68</f>
        <v>September</v>
      </c>
      <c r="D68" s="229" t="str">
        <f t="array" ref="D68">INDEX(Academic_Year,MATCH($B$8&amp;$C$36,DATE_COLUMN&amp;Calendar_Months,0))</f>
        <v>2026-2027</v>
      </c>
      <c r="E68" s="60">
        <f>INDEX(Number_Months,MATCH(C68,Time_Periods,0))</f>
        <v>1</v>
      </c>
      <c r="F68" s="424">
        <f t="array" ref="F68">INDEX(Salary,MATCH(C66&amp;D68,Range1&amp;Range2,0))</f>
        <v>7028</v>
      </c>
      <c r="G68" s="208">
        <f>Year1!G68</f>
        <v>0.5</v>
      </c>
      <c r="H68" s="11">
        <f>C65*E68*F68*G68</f>
        <v>0</v>
      </c>
    </row>
    <row r="69" spans="1:8" x14ac:dyDescent="0.2">
      <c r="A69" s="5"/>
      <c r="B69" s="85" t="str">
        <f>IF(OR(Year2!C69="August",Year2!C69="June",Year2!C69="July - August",Year2!C69="June - August",Year2!C69="June - July"),"Summer","Academic")</f>
        <v>Academic</v>
      </c>
      <c r="C69" s="229" t="str">
        <f>Year1!C69</f>
        <v>October - December</v>
      </c>
      <c r="D69" s="229" t="str">
        <f t="array" ref="D69">INDEX(Academic_Year,MATCH($B$8&amp;$C$37,DATE_COLUMN&amp;Calendar_Months,0))</f>
        <v>2027-2028</v>
      </c>
      <c r="E69" s="60">
        <f>INDEX(Number_Months,MATCH(C69,Time_Periods,0))</f>
        <v>3</v>
      </c>
      <c r="F69" s="424">
        <f t="array" ref="F69">INDEX(Salary,MATCH(C66&amp;D69,Range1&amp;Range2,0))</f>
        <v>7478</v>
      </c>
      <c r="G69" s="208">
        <f>Year1!G69</f>
        <v>0.5</v>
      </c>
      <c r="H69" s="11">
        <f>C65*E69*F69*G69</f>
        <v>0</v>
      </c>
    </row>
    <row r="70" spans="1:8" x14ac:dyDescent="0.2">
      <c r="A70" s="5"/>
      <c r="B70" s="85" t="str">
        <f>IF(OR(Year2!C70="August",Year2!C70="June",Year2!C70="July - August",Year2!C70="June - August",Year2!C70="June - July"),"Summer","Academic")</f>
        <v>Academic</v>
      </c>
      <c r="C70" s="229" t="str">
        <f>Year1!C70</f>
        <v>January - May</v>
      </c>
      <c r="D70" s="229" t="str">
        <f t="array" ref="D70">INDEX(Academic_Year,MATCH($B$8&amp;$C$38,DATE_COLUMN&amp;Calendar_Months,0))</f>
        <v>2027-2028</v>
      </c>
      <c r="E70" s="60">
        <f>INDEX(Number_Months,MATCH(C70,Time_Periods,0))</f>
        <v>5</v>
      </c>
      <c r="F70" s="424">
        <f t="array" ref="F70">INDEX(Salary,MATCH(C66&amp;D70,Range1&amp;Range2,0))</f>
        <v>7478</v>
      </c>
      <c r="G70" s="208">
        <f>Year1!G70</f>
        <v>0.5</v>
      </c>
      <c r="H70" s="11">
        <f>C65*E70*F70*G70</f>
        <v>0</v>
      </c>
    </row>
    <row r="71" spans="1:8" x14ac:dyDescent="0.2">
      <c r="A71" s="5"/>
      <c r="B71" s="85" t="str">
        <f>IF(OR(Year2!C71="August",Year2!C71="June",Year2!C71="July - August",Year2!C71="June - August",Year2!C71="June - July"),"Summer","Academic")</f>
        <v>Summer</v>
      </c>
      <c r="C71" s="229" t="str">
        <f>Year1!C71</f>
        <v>June</v>
      </c>
      <c r="D71" s="229" t="str">
        <f t="array" ref="D71">INDEX(Academic_Year,MATCH($B$8&amp;$C$39,DATE_COLUMN&amp;Calendar_Months,0))</f>
        <v>2027-2028</v>
      </c>
      <c r="E71" s="60">
        <f>INDEX(Number_Months,MATCH(C71,Time_Periods,0))</f>
        <v>1</v>
      </c>
      <c r="F71" s="424">
        <f t="array" ref="F71">INDEX(Salary,MATCH(C66&amp;D71,Range1&amp;Range2,0))</f>
        <v>7478</v>
      </c>
      <c r="G71" s="208">
        <f>Year1!G71</f>
        <v>0.5</v>
      </c>
      <c r="H71" s="11">
        <f>C65*E71*F71*G71</f>
        <v>0</v>
      </c>
    </row>
    <row r="72" spans="1:8" x14ac:dyDescent="0.2">
      <c r="A72" s="5"/>
      <c r="B72" s="6"/>
      <c r="C72" s="6"/>
      <c r="D72" s="6"/>
      <c r="E72" s="60">
        <f>SUM(E67:E71)</f>
        <v>12</v>
      </c>
      <c r="F72" s="22"/>
      <c r="G72" s="22" t="s">
        <v>9</v>
      </c>
      <c r="H72" s="58">
        <f>SUM(H67:H71)</f>
        <v>0</v>
      </c>
    </row>
    <row r="73" spans="1:8" x14ac:dyDescent="0.2">
      <c r="A73" s="5"/>
      <c r="B73" s="13" t="s">
        <v>11</v>
      </c>
      <c r="C73" s="216">
        <f>Year1!C73</f>
        <v>0</v>
      </c>
      <c r="D73" s="216"/>
      <c r="E73" s="6"/>
      <c r="F73" s="6"/>
      <c r="G73" s="6"/>
      <c r="H73" s="11"/>
    </row>
    <row r="74" spans="1:8" x14ac:dyDescent="0.2">
      <c r="A74" s="5"/>
      <c r="B74" s="6"/>
      <c r="C74" s="452" t="str">
        <f>IF(Year1!C74="GSR Step I","GSR Step II",IF(Year1!C74="GSR Step II","GSR Step III",IF(Year1!C74="GSR Step III","GSR Step III",IF(Year1!C74="GSR Step IV","GSR Step IV",IF(Year1!C74="GSR Step V","GSR Step V",IF(Year1!C74="GSR Step VI","GSR Step VI",0))))))</f>
        <v>GSR Step II</v>
      </c>
      <c r="D74" s="453"/>
      <c r="E74" s="6"/>
      <c r="F74" s="6"/>
      <c r="G74" s="6"/>
      <c r="H74" s="11"/>
    </row>
    <row r="75" spans="1:8" x14ac:dyDescent="0.2">
      <c r="A75" s="5"/>
      <c r="B75" s="85" t="str">
        <f>IF(OR(Year2!C75="August",Year2!C75="June",Year2!C75="July - August",Year2!C75="June - August",Year2!C75="June - July"),"Summer","Academic")</f>
        <v>Summer</v>
      </c>
      <c r="C75" s="229" t="str">
        <f>Year1!C75</f>
        <v>July - August</v>
      </c>
      <c r="D75" s="229" t="str">
        <f t="array" ref="D75">INDEX(Academic_Year,MATCH($B$8&amp;$C$35,DATE_COLUMN&amp;Calendar_Months,0))</f>
        <v>2026-2027</v>
      </c>
      <c r="E75" s="60">
        <f>INDEX(Number_Months,MATCH(C75,Time_Periods,0))</f>
        <v>2</v>
      </c>
      <c r="F75" s="424">
        <f t="array" ref="F75">INDEX(Salary,MATCH(C74&amp;D75,Range1&amp;Range2,0))</f>
        <v>7028</v>
      </c>
      <c r="G75" s="208">
        <f>Year1!G75</f>
        <v>0.5</v>
      </c>
      <c r="H75" s="11">
        <f>C73*E75*F75*G75</f>
        <v>0</v>
      </c>
    </row>
    <row r="76" spans="1:8" x14ac:dyDescent="0.2">
      <c r="A76" s="5"/>
      <c r="B76" s="85" t="str">
        <f>IF(OR(Year2!C76="August",Year2!C76="June",Year2!C76="July - August",Year2!C76="June - August",Year2!C76="June - July"),"Summer","Academic")</f>
        <v>Academic</v>
      </c>
      <c r="C76" s="229" t="str">
        <f>Year1!C76</f>
        <v>September</v>
      </c>
      <c r="D76" s="229" t="str">
        <f t="array" ref="D76">INDEX(Academic_Year,MATCH($B$8&amp;$C$36,DATE_COLUMN&amp;Calendar_Months,0))</f>
        <v>2026-2027</v>
      </c>
      <c r="E76" s="60">
        <f>INDEX(Number_Months,MATCH(C76,Time_Periods,0))</f>
        <v>1</v>
      </c>
      <c r="F76" s="424">
        <f t="array" ref="F76">INDEX(Salary,MATCH(C74&amp;D76,Range1&amp;Range2,0))</f>
        <v>7028</v>
      </c>
      <c r="G76" s="208">
        <f>Year1!G76</f>
        <v>0.5</v>
      </c>
      <c r="H76" s="11">
        <f>C73*E76*F76*G76</f>
        <v>0</v>
      </c>
    </row>
    <row r="77" spans="1:8" x14ac:dyDescent="0.2">
      <c r="A77" s="5"/>
      <c r="B77" s="85" t="str">
        <f>IF(OR(Year2!C77="August",Year2!C77="June",Year2!C77="July - August",Year2!C77="June - August",Year2!C77="June - July"),"Summer","Academic")</f>
        <v>Academic</v>
      </c>
      <c r="C77" s="229" t="str">
        <f>Year1!C77</f>
        <v>October - December</v>
      </c>
      <c r="D77" s="229" t="str">
        <f t="array" ref="D77">INDEX(Academic_Year,MATCH($B$8&amp;$C$37,DATE_COLUMN&amp;Calendar_Months,0))</f>
        <v>2027-2028</v>
      </c>
      <c r="E77" s="60">
        <f>INDEX(Number_Months,MATCH(C77,Time_Periods,0))</f>
        <v>3</v>
      </c>
      <c r="F77" s="424">
        <f t="array" ref="F77">INDEX(Salary,MATCH(C74&amp;D77,Range1&amp;Range2,0))</f>
        <v>7478</v>
      </c>
      <c r="G77" s="208">
        <f>Year1!G77</f>
        <v>0.5</v>
      </c>
      <c r="H77" s="11">
        <f>C73*E77*F77*G77</f>
        <v>0</v>
      </c>
    </row>
    <row r="78" spans="1:8" x14ac:dyDescent="0.2">
      <c r="A78" s="5"/>
      <c r="B78" s="85" t="str">
        <f>IF(OR(Year2!C78="August",Year2!C78="June",Year2!C78="July - August",Year2!C78="June - August",Year2!C78="June - July"),"Summer","Academic")</f>
        <v>Academic</v>
      </c>
      <c r="C78" s="229" t="str">
        <f>Year1!C78</f>
        <v>January - May</v>
      </c>
      <c r="D78" s="229" t="str">
        <f t="array" ref="D78">INDEX(Academic_Year,MATCH($B$8&amp;$C$38,DATE_COLUMN&amp;Calendar_Months,0))</f>
        <v>2027-2028</v>
      </c>
      <c r="E78" s="60">
        <f>INDEX(Number_Months,MATCH(C78,Time_Periods,0))</f>
        <v>5</v>
      </c>
      <c r="F78" s="424">
        <f t="array" ref="F78">INDEX(Salary,MATCH(C74&amp;D78,Range1&amp;Range2,0))</f>
        <v>7478</v>
      </c>
      <c r="G78" s="208">
        <f>Year1!G78</f>
        <v>0.5</v>
      </c>
      <c r="H78" s="11">
        <f>C73*E78*F78*G78</f>
        <v>0</v>
      </c>
    </row>
    <row r="79" spans="1:8" x14ac:dyDescent="0.2">
      <c r="A79" s="5"/>
      <c r="B79" s="85" t="str">
        <f>IF(OR(Year2!C79="August",Year2!C79="June",Year2!C79="July - August",Year2!C79="June - August",Year2!C79="June - July"),"Summer","Academic")</f>
        <v>Summer</v>
      </c>
      <c r="C79" s="229" t="str">
        <f>Year1!C79</f>
        <v>June</v>
      </c>
      <c r="D79" s="229" t="str">
        <f t="array" ref="D79">INDEX(Academic_Year,MATCH($B$8&amp;$C$39,DATE_COLUMN&amp;Calendar_Months,0))</f>
        <v>2027-2028</v>
      </c>
      <c r="E79" s="60">
        <f>INDEX(Number_Months,MATCH(C79,Time_Periods,0))</f>
        <v>1</v>
      </c>
      <c r="F79" s="424">
        <f t="array" ref="F79">INDEX(Salary,MATCH(C74&amp;D79,Range1&amp;Range2,0))</f>
        <v>7478</v>
      </c>
      <c r="G79" s="208">
        <f>Year1!G79</f>
        <v>0.5</v>
      </c>
      <c r="H79" s="11">
        <f>C73*E79*F79*G79</f>
        <v>0</v>
      </c>
    </row>
    <row r="80" spans="1:8" x14ac:dyDescent="0.2">
      <c r="A80" s="5"/>
      <c r="B80" s="6"/>
      <c r="C80" s="6"/>
      <c r="D80" s="6"/>
      <c r="E80" s="60">
        <f>SUM(E75:E79)</f>
        <v>12</v>
      </c>
      <c r="F80" s="22"/>
      <c r="G80" s="22" t="s">
        <v>9</v>
      </c>
      <c r="H80" s="58">
        <f>SUM(H75:H79)</f>
        <v>0</v>
      </c>
    </row>
    <row r="81" spans="1:8" x14ac:dyDescent="0.2">
      <c r="A81" s="4" t="s">
        <v>17</v>
      </c>
      <c r="E81" s="60"/>
      <c r="G81" s="19" t="s">
        <v>111</v>
      </c>
      <c r="H81" s="10">
        <f>IF(Year1!H8=1,0,H80+H72+H64+H56+H48+H40+H32)</f>
        <v>0</v>
      </c>
    </row>
    <row r="82" spans="1:8" x14ac:dyDescent="0.2">
      <c r="A82" s="4"/>
      <c r="B82" s="13" t="s">
        <v>54</v>
      </c>
      <c r="C82" s="6" t="s">
        <v>197</v>
      </c>
      <c r="E82" s="60"/>
      <c r="F82" s="13"/>
      <c r="H82" s="10"/>
    </row>
    <row r="83" spans="1:8" x14ac:dyDescent="0.2">
      <c r="A83" s="5"/>
      <c r="B83" s="421">
        <f>Year1!B83</f>
        <v>0</v>
      </c>
      <c r="C83" s="242" t="str">
        <f>Year1!C83</f>
        <v>Specialist, IX</v>
      </c>
      <c r="D83" s="224"/>
      <c r="E83" s="224" t="s">
        <v>8</v>
      </c>
      <c r="F83" s="297">
        <f>H84+H85</f>
        <v>0</v>
      </c>
      <c r="G83" s="208"/>
      <c r="H83" s="11"/>
    </row>
    <row r="84" spans="1:8" x14ac:dyDescent="0.2">
      <c r="A84" s="5"/>
      <c r="B84" s="426"/>
      <c r="C84" s="229" t="str">
        <f>INDEX(Period1_AR,MATCH(Grid!K1,Begin_Month2))</f>
        <v>July - June</v>
      </c>
      <c r="D84" s="229" t="str" cm="1">
        <f t="array" ref="D84">INDEX(Fiscal_Year_,MATCH($B$8&amp;C84,DATE_COLUMN_AR&amp;CALENDAR_MONTHS_AR,0))</f>
        <v>FY28</v>
      </c>
      <c r="E84" s="262">
        <f>VLOOKUP(C84,Grid2!$I$27:$J$38,2,FALSE)</f>
        <v>12</v>
      </c>
      <c r="F84" s="424" cm="1">
        <f t="array" ref="F84">INDEX(AR_SALARY,MATCH(C83&amp;D84,AR_Title&amp;AR_FY,0))</f>
        <v>17472.390186419998</v>
      </c>
      <c r="G84" s="215">
        <f>Year1!G84</f>
        <v>1</v>
      </c>
      <c r="H84" s="11">
        <f>ROUND(B83*E84*F84*G84,0)</f>
        <v>0</v>
      </c>
    </row>
    <row r="85" spans="1:8" x14ac:dyDescent="0.2">
      <c r="A85" s="5"/>
      <c r="B85" s="426"/>
      <c r="C85" s="229" t="str">
        <f>INDEX(Period2_AR,MATCH(Grid!K1,Begin_Month2))</f>
        <v>none</v>
      </c>
      <c r="D85" s="229" t="str" cm="1">
        <f t="array" ref="D85">INDEX(Fiscal_Year_,MATCH($B$8&amp;C85,DATE_COLUMN_AR&amp;CALENDAR_MONTHS_AR,0))</f>
        <v>FY28</v>
      </c>
      <c r="E85" s="262">
        <f>VLOOKUP(C85,Grid2!$K$27:$L$38,2,FALSE)</f>
        <v>0</v>
      </c>
      <c r="F85" s="424" cm="1">
        <f t="array" ref="F85">INDEX(AR_SALARY,MATCH(C83&amp;D85,AR_Title&amp;AR_FY,0))</f>
        <v>17472.390186419998</v>
      </c>
      <c r="G85" s="215">
        <f>Year1!G85</f>
        <v>1</v>
      </c>
      <c r="H85" s="11">
        <f>ROUND(B83*E85*F85*G85,0)</f>
        <v>0</v>
      </c>
    </row>
    <row r="86" spans="1:8" x14ac:dyDescent="0.2">
      <c r="A86" s="5"/>
      <c r="B86" s="421">
        <f>Year1!B86</f>
        <v>0</v>
      </c>
      <c r="C86" s="330" t="str">
        <f>Year1!C86</f>
        <v>Research Engineer, I</v>
      </c>
      <c r="D86" s="225"/>
      <c r="E86" s="224" t="s">
        <v>8</v>
      </c>
      <c r="F86" s="297">
        <f>H87+H88</f>
        <v>0</v>
      </c>
      <c r="G86" s="208"/>
      <c r="H86" s="11"/>
    </row>
    <row r="87" spans="1:8" x14ac:dyDescent="0.2">
      <c r="A87" s="5"/>
      <c r="B87" s="426"/>
      <c r="C87" s="229" t="str">
        <f>INDEX(Period1_AR,MATCH(Grid!K1,Begin_Month2))</f>
        <v>July - June</v>
      </c>
      <c r="D87" s="229" t="str" cm="1">
        <f t="array" ref="D87">INDEX(Fiscal_Year_,MATCH($B$8&amp;C87,DATE_COLUMN_AR&amp;CALENDAR_MONTHS_AR,0))</f>
        <v>FY28</v>
      </c>
      <c r="E87" s="262">
        <f>VLOOKUP(C87,Grid2!$I$27:$J$38,2,FALSE)</f>
        <v>12</v>
      </c>
      <c r="F87" s="424" cm="1">
        <f t="array" ref="F87">INDEX(AR_SALARY,MATCH(C86&amp;D87,AR_Title&amp;AR_FY,0))</f>
        <v>15086.422463579998</v>
      </c>
      <c r="G87" s="215">
        <f>Year1!G87</f>
        <v>1</v>
      </c>
      <c r="H87" s="11">
        <f>ROUND(B86*E87*F87*G87,0)</f>
        <v>0</v>
      </c>
    </row>
    <row r="88" spans="1:8" x14ac:dyDescent="0.2">
      <c r="A88" s="5"/>
      <c r="B88" s="426"/>
      <c r="C88" s="229" t="str">
        <f>INDEX(Period2_AR,MATCH(Grid!K1,Begin_Month2))</f>
        <v>none</v>
      </c>
      <c r="D88" s="229" t="str" cm="1">
        <f t="array" ref="D88">INDEX(Fiscal_Year_,MATCH($B$8&amp;C88,DATE_COLUMN_AR&amp;CALENDAR_MONTHS_AR,0))</f>
        <v>FY28</v>
      </c>
      <c r="E88" s="262">
        <f>VLOOKUP(C88,Grid2!$K$27:$L$38,2,FALSE)</f>
        <v>0</v>
      </c>
      <c r="F88" s="424" cm="1">
        <f t="array" ref="F88">INDEX(AR_SALARY,MATCH(C86&amp;D88,AR_Title&amp;AR_FY,0))</f>
        <v>15086.422463579998</v>
      </c>
      <c r="G88" s="215">
        <f>Year1!G88</f>
        <v>1</v>
      </c>
      <c r="H88" s="11">
        <f t="shared" ref="H88" si="0">ROUND(B86*E88*F88*G88,0)</f>
        <v>0</v>
      </c>
    </row>
    <row r="89" spans="1:8" x14ac:dyDescent="0.2">
      <c r="A89" s="5"/>
      <c r="B89" s="421">
        <f>Year1!B89</f>
        <v>0</v>
      </c>
      <c r="C89" s="6" t="s">
        <v>18</v>
      </c>
      <c r="D89" s="120" t="s">
        <v>567</v>
      </c>
      <c r="E89" s="213">
        <f>Year1!E89</f>
        <v>0</v>
      </c>
      <c r="F89" s="419">
        <f>Year1!F89</f>
        <v>18.670000000000002</v>
      </c>
      <c r="G89" s="215">
        <f>Year1!G89</f>
        <v>1</v>
      </c>
      <c r="H89" s="11">
        <f t="shared" ref="H89:H94" si="1">ROUND(B89*E89*F89*G89,0)</f>
        <v>0</v>
      </c>
    </row>
    <row r="90" spans="1:8" x14ac:dyDescent="0.2">
      <c r="A90" s="5"/>
      <c r="B90" s="421">
        <f>Year1!B90</f>
        <v>0</v>
      </c>
      <c r="C90" s="6" t="s">
        <v>18</v>
      </c>
      <c r="D90" s="120" t="s">
        <v>567</v>
      </c>
      <c r="E90" s="213">
        <f>Year1!E90</f>
        <v>0</v>
      </c>
      <c r="F90" s="419">
        <f>Year1!F90</f>
        <v>18.670000000000002</v>
      </c>
      <c r="G90" s="215">
        <f>Year1!G90</f>
        <v>1</v>
      </c>
      <c r="H90" s="11">
        <f t="shared" si="1"/>
        <v>0</v>
      </c>
    </row>
    <row r="91" spans="1:8" x14ac:dyDescent="0.2">
      <c r="A91" s="5"/>
      <c r="B91" s="421">
        <f>Year1!B91</f>
        <v>0</v>
      </c>
      <c r="C91" s="6" t="s">
        <v>18</v>
      </c>
      <c r="D91" s="120" t="s">
        <v>567</v>
      </c>
      <c r="E91" s="213">
        <f>Year1!E91</f>
        <v>0</v>
      </c>
      <c r="F91" s="419">
        <f>Year1!F91</f>
        <v>18.670000000000002</v>
      </c>
      <c r="G91" s="215">
        <f>Year1!G91</f>
        <v>1</v>
      </c>
      <c r="H91" s="11">
        <f t="shared" si="1"/>
        <v>0</v>
      </c>
    </row>
    <row r="92" spans="1:8" x14ac:dyDescent="0.2">
      <c r="A92" s="5"/>
      <c r="B92" s="421">
        <f>Year1!B92</f>
        <v>0</v>
      </c>
      <c r="C92" s="6" t="s">
        <v>107</v>
      </c>
      <c r="D92" s="6"/>
      <c r="E92" s="213">
        <f>Year1!E92</f>
        <v>12</v>
      </c>
      <c r="F92" s="214">
        <f>Year1!F92*1.04</f>
        <v>10.4</v>
      </c>
      <c r="G92" s="215">
        <f>Year1!G92</f>
        <v>1</v>
      </c>
      <c r="H92" s="11">
        <f t="shared" si="1"/>
        <v>0</v>
      </c>
    </row>
    <row r="93" spans="1:8" x14ac:dyDescent="0.2">
      <c r="A93" s="5"/>
      <c r="B93" s="421">
        <f>Year1!B93</f>
        <v>0</v>
      </c>
      <c r="C93" s="6" t="s">
        <v>107</v>
      </c>
      <c r="D93" s="6"/>
      <c r="E93" s="213">
        <f>Year1!E93</f>
        <v>12</v>
      </c>
      <c r="F93" s="214">
        <f>Year1!F93*1.04</f>
        <v>10.4</v>
      </c>
      <c r="G93" s="215">
        <f>Year1!G93</f>
        <v>1</v>
      </c>
      <c r="H93" s="11">
        <f t="shared" si="1"/>
        <v>0</v>
      </c>
    </row>
    <row r="94" spans="1:8" x14ac:dyDescent="0.2">
      <c r="A94" s="5"/>
      <c r="B94" s="421">
        <f>Year1!B94</f>
        <v>0</v>
      </c>
      <c r="C94" s="6" t="s">
        <v>107</v>
      </c>
      <c r="D94" s="6"/>
      <c r="E94" s="213">
        <f>Year1!E94</f>
        <v>12</v>
      </c>
      <c r="F94" s="214">
        <f>Year1!F94*1.04</f>
        <v>10.4</v>
      </c>
      <c r="G94" s="215">
        <f>Year1!G94</f>
        <v>1</v>
      </c>
      <c r="H94" s="11">
        <f t="shared" si="1"/>
        <v>0</v>
      </c>
    </row>
    <row r="95" spans="1:8" x14ac:dyDescent="0.2">
      <c r="A95" s="5"/>
      <c r="B95" s="421">
        <f>Year1!B95</f>
        <v>0</v>
      </c>
      <c r="C95" s="6" t="s">
        <v>153</v>
      </c>
      <c r="D95" s="6"/>
      <c r="E95" s="213">
        <f>Year1!E95</f>
        <v>12</v>
      </c>
      <c r="F95" s="214">
        <f>Year1!F95*1.04</f>
        <v>10.4</v>
      </c>
      <c r="G95" s="215">
        <f>Year1!G95</f>
        <v>1</v>
      </c>
      <c r="H95" s="11">
        <f>ROUND(B95*E95*F95*G95,0)</f>
        <v>0</v>
      </c>
    </row>
    <row r="96" spans="1:8" x14ac:dyDescent="0.2">
      <c r="A96" s="5"/>
      <c r="B96" s="421">
        <f>Year1!B96</f>
        <v>0</v>
      </c>
      <c r="C96" s="6" t="s">
        <v>153</v>
      </c>
      <c r="D96" s="6"/>
      <c r="E96" s="213">
        <f>Year1!E96</f>
        <v>12</v>
      </c>
      <c r="F96" s="214">
        <f>Year1!F96*1.04</f>
        <v>10.4</v>
      </c>
      <c r="G96" s="215">
        <f>Year1!G96</f>
        <v>1</v>
      </c>
      <c r="H96" s="11">
        <f t="shared" ref="H96:H98" si="2">ROUND(B96*E96*F96*G96,0)</f>
        <v>0</v>
      </c>
    </row>
    <row r="97" spans="1:9" x14ac:dyDescent="0.2">
      <c r="A97" s="5"/>
      <c r="B97" s="421">
        <f>Year1!B97</f>
        <v>0</v>
      </c>
      <c r="C97" s="6" t="s">
        <v>1302</v>
      </c>
      <c r="D97" s="6"/>
      <c r="E97" s="213">
        <f>Year1!E97</f>
        <v>12</v>
      </c>
      <c r="F97" s="214">
        <f>Year1!F97*1.04</f>
        <v>10.4</v>
      </c>
      <c r="G97" s="215">
        <f>Year1!G97</f>
        <v>1</v>
      </c>
      <c r="H97" s="11">
        <f t="shared" si="2"/>
        <v>0</v>
      </c>
    </row>
    <row r="98" spans="1:9" x14ac:dyDescent="0.2">
      <c r="A98" s="5"/>
      <c r="B98" s="421">
        <f>Year1!B98</f>
        <v>0</v>
      </c>
      <c r="C98" s="6" t="s">
        <v>1302</v>
      </c>
      <c r="D98" s="6"/>
      <c r="E98" s="213">
        <f>Year1!E98</f>
        <v>12</v>
      </c>
      <c r="F98" s="214">
        <f>Year1!F98*1.04</f>
        <v>10.4</v>
      </c>
      <c r="G98" s="215">
        <f>Year1!G98</f>
        <v>1</v>
      </c>
      <c r="H98" s="11">
        <f t="shared" si="2"/>
        <v>0</v>
      </c>
      <c r="I98" s="12"/>
    </row>
    <row r="99" spans="1:9" x14ac:dyDescent="0.2">
      <c r="A99" s="5"/>
      <c r="D99" s="436" t="s">
        <v>1157</v>
      </c>
      <c r="H99" s="17"/>
    </row>
    <row r="100" spans="1:9" x14ac:dyDescent="0.2">
      <c r="A100" s="5"/>
      <c r="B100" s="443"/>
      <c r="C100" s="441" t="s">
        <v>1183</v>
      </c>
      <c r="D100" s="436"/>
      <c r="E100" s="213"/>
      <c r="F100" s="214"/>
      <c r="G100" s="215"/>
      <c r="H100" s="11"/>
    </row>
    <row r="101" spans="1:9" x14ac:dyDescent="0.2">
      <c r="A101" s="5"/>
      <c r="B101" s="443">
        <f>Year1!B101</f>
        <v>0</v>
      </c>
      <c r="C101" s="6" t="s">
        <v>22</v>
      </c>
      <c r="D101" s="242">
        <f>IF(Year1!D101=Blank,"Blank",Year1!D101+1)</f>
        <v>5</v>
      </c>
      <c r="E101" s="440">
        <f>IF(D101=Blank,"Blank",D101+1)</f>
        <v>6</v>
      </c>
      <c r="F101" s="446"/>
      <c r="G101" s="41"/>
      <c r="H101" s="11"/>
    </row>
    <row r="102" spans="1:9" x14ac:dyDescent="0.2">
      <c r="A102" s="5"/>
      <c r="B102" s="443"/>
      <c r="C102" s="229" t="str">
        <f>INDEX(hiredate2_period1,MATCH(Grid!$K$1,Grid2!$D$2:$D$13))</f>
        <v>July - September</v>
      </c>
      <c r="D102" s="229" t="str" cm="1">
        <f t="array" ref="D102">INDEX(Grid2!$W$27:$W$350,MATCH($B$8&amp;$C$102,Grid2!$U$27:$U$350&amp;Grid2!$V$27:$V$350,0))</f>
        <v>FY27E</v>
      </c>
      <c r="E102" s="229">
        <f>VLOOKUP(C102,Grid2!$I$2:$J$13,2,FALSE)</f>
        <v>3</v>
      </c>
      <c r="F102" s="246" cm="1">
        <f t="array" ref="F102">INDEX(hiredate2_salary,MATCH($D$101&amp;D102,exp_level_hire_date_2&amp;hiredate2_FY,0))</f>
        <v>7146.4628068874981</v>
      </c>
      <c r="G102" s="215">
        <f>Year1!G102</f>
        <v>1</v>
      </c>
      <c r="H102" s="11">
        <f>ROUND(B101*E102*F102*G102,0)</f>
        <v>0</v>
      </c>
    </row>
    <row r="103" spans="1:9" x14ac:dyDescent="0.2">
      <c r="A103" s="5"/>
      <c r="B103" s="443"/>
      <c r="C103" s="229" t="str">
        <f>INDEX(Hiredate2_period2,MATCH(Grid!$K$1,Grid2!$D$2:$D$13))</f>
        <v>October - March</v>
      </c>
      <c r="D103" s="229" t="str" cm="1">
        <f t="array" ref="D103">INDEX(Grid2!$W$27:$W$350,MATCH($B$8&amp;$C$103,Grid2!$U$27:$U$350&amp;Grid2!$V$27:$V$350,0))</f>
        <v>FY28R</v>
      </c>
      <c r="E103" s="229">
        <f>VLOOKUP(C103,Grid2!$K$2:$L$13,2,FALSE)</f>
        <v>6</v>
      </c>
      <c r="F103" s="246" cm="1">
        <f t="array" ref="F103">INDEX(hiredate2_salary,MATCH($D$101&amp;D103,exp_level_hire_date_2&amp;hiredate2_FY,0))</f>
        <v>7358.75</v>
      </c>
      <c r="G103" s="215">
        <f>Year1!G103</f>
        <v>1</v>
      </c>
      <c r="H103" s="11">
        <f>ROUND(B101*E103*F103*G103,0)</f>
        <v>0</v>
      </c>
    </row>
    <row r="104" spans="1:9" x14ac:dyDescent="0.2">
      <c r="A104" s="5"/>
      <c r="B104" s="443"/>
      <c r="C104" s="229" t="str">
        <f>INDEX(hiredate2_period3,MATCH(Grid!$K$1,Grid2!$D$2:$D$13))</f>
        <v>April - June</v>
      </c>
      <c r="D104" s="229" t="str" cm="1">
        <f t="array" ref="D104">INDEX(Grid2!$W$27:$W$350,MATCH($B$8&amp;$C$104,Grid2!$U$27:$U$350&amp;Grid2!$V$27:$V$350,0))</f>
        <v>FY28E</v>
      </c>
      <c r="E104" s="229">
        <f>VLOOKUP(C104,Grid2!$M$2:$N$13,2,FALSE)</f>
        <v>3</v>
      </c>
      <c r="F104" s="246" cm="1">
        <f t="array" ref="F104">INDEX(hiredate2_salary,MATCH(($D$101+1)&amp;D104,exp_level_hire_date_2&amp;hiredate2_FY,0))</f>
        <v>7358.75</v>
      </c>
      <c r="G104" s="215">
        <f>Year1!G104</f>
        <v>1</v>
      </c>
      <c r="H104" s="11">
        <f>ROUND(B101*E104*F104*G104,0)</f>
        <v>0</v>
      </c>
    </row>
    <row r="105" spans="1:9" x14ac:dyDescent="0.2">
      <c r="A105" s="5"/>
      <c r="B105" s="443">
        <f>Year1!B105</f>
        <v>0</v>
      </c>
      <c r="C105" s="6" t="s">
        <v>22</v>
      </c>
      <c r="D105" s="242">
        <f>IF(Year1!D105=Blank,"Blank",Year1!D105+1)</f>
        <v>5</v>
      </c>
      <c r="E105" s="458">
        <f>IF(D105=Blank,"Blank",D105+1)</f>
        <v>6</v>
      </c>
      <c r="F105" s="460"/>
      <c r="G105" s="41"/>
      <c r="H105" s="11"/>
    </row>
    <row r="106" spans="1:9" x14ac:dyDescent="0.2">
      <c r="A106" s="5"/>
      <c r="B106" s="443"/>
      <c r="C106" s="229" t="str">
        <f>INDEX(hiredate2_period1,MATCH(Grid!$K$1,Grid2!$D$2:$D$13))</f>
        <v>July - September</v>
      </c>
      <c r="D106" s="229" t="str" cm="1">
        <f t="array" ref="D106">INDEX(Grid2!$W$27:$W$350,MATCH($B$8&amp;$C$102,Grid2!$U$27:$U$350&amp;Grid2!$V$27:$V$350,0))</f>
        <v>FY27E</v>
      </c>
      <c r="E106" s="229">
        <f>VLOOKUP(C106,Grid2!$I$2:$J$13,2,FALSE)</f>
        <v>3</v>
      </c>
      <c r="F106" s="246" cm="1">
        <f t="array" ref="F106">INDEX(hiredate2_salary,MATCH($D$105&amp;D106,exp_level_hire_date_2&amp;hiredate2_FY,0))</f>
        <v>7146.4628068874981</v>
      </c>
      <c r="G106" s="215">
        <f>Year1!G106</f>
        <v>1</v>
      </c>
      <c r="H106" s="11">
        <f>ROUND(B105*E106*F106*G106,0)</f>
        <v>0</v>
      </c>
    </row>
    <row r="107" spans="1:9" x14ac:dyDescent="0.2">
      <c r="A107" s="5"/>
      <c r="B107" s="443"/>
      <c r="C107" s="229" t="str">
        <f>INDEX(Hiredate2_period2,MATCH(Grid!$K$1,Grid2!$D$2:$D$13))</f>
        <v>October - March</v>
      </c>
      <c r="D107" s="229" t="str" cm="1">
        <f t="array" ref="D107">INDEX(Grid2!$W$27:$W$350,MATCH($B$8&amp;$C$103,Grid2!$U$27:$U$350&amp;Grid2!$V$27:$V$350,0))</f>
        <v>FY28R</v>
      </c>
      <c r="E107" s="229">
        <f>VLOOKUP(C107,Grid2!$K$2:$L$13,2,FALSE)</f>
        <v>6</v>
      </c>
      <c r="F107" s="246" cm="1">
        <f t="array" ref="F107">INDEX(hiredate2_salary,MATCH($D$105&amp;D107,exp_level_hire_date_2&amp;hiredate2_FY,0))</f>
        <v>7358.75</v>
      </c>
      <c r="G107" s="215">
        <f>Year1!G107</f>
        <v>1</v>
      </c>
      <c r="H107" s="11">
        <f>ROUND(B105*E107*F107*G107,0)</f>
        <v>0</v>
      </c>
    </row>
    <row r="108" spans="1:9" x14ac:dyDescent="0.2">
      <c r="A108" s="5"/>
      <c r="B108" s="443"/>
      <c r="C108" s="229" t="str">
        <f>INDEX(hiredate2_period3,MATCH(Grid!$K$1,Grid2!$D$2:$D$13))</f>
        <v>April - June</v>
      </c>
      <c r="D108" s="229" t="str" cm="1">
        <f t="array" ref="D108">INDEX(Grid2!$W$27:$W$350,MATCH($B$8&amp;$C$104,Grid2!$U$27:$U$350&amp;Grid2!$V$27:$V$350,0))</f>
        <v>FY28E</v>
      </c>
      <c r="E108" s="229">
        <f>VLOOKUP(C108,Grid2!$M$2:$N$13,2,FALSE)</f>
        <v>3</v>
      </c>
      <c r="F108" s="246" cm="1">
        <f t="array" ref="F108">INDEX(hiredate2_salary,MATCH(($D$105+1)&amp;D108,exp_level_hire_date_2&amp;hiredate2_FY,0))</f>
        <v>7358.75</v>
      </c>
      <c r="G108" s="215">
        <f>Year1!G108</f>
        <v>1</v>
      </c>
      <c r="H108" s="11">
        <f>ROUND(B105*E108*F108*G108,0)</f>
        <v>0</v>
      </c>
    </row>
    <row r="109" spans="1:9" x14ac:dyDescent="0.2">
      <c r="A109" s="5"/>
      <c r="B109" s="443">
        <f>Year1!B109</f>
        <v>0</v>
      </c>
      <c r="C109" s="6" t="s">
        <v>22</v>
      </c>
      <c r="D109" s="242">
        <f>IF(Year1!D109=Blank,"Blank",Year1!D109+1)</f>
        <v>5</v>
      </c>
      <c r="E109" s="458">
        <f>IF(D109=Blank,"Blank",D109+1)</f>
        <v>6</v>
      </c>
      <c r="F109" s="460"/>
      <c r="G109" s="41"/>
      <c r="H109" s="11"/>
    </row>
    <row r="110" spans="1:9" x14ac:dyDescent="0.2">
      <c r="A110" s="5"/>
      <c r="B110" s="443"/>
      <c r="C110" s="229" t="str">
        <f>INDEX(hiredate2_period1,MATCH(Grid!$K$1,Grid2!$D$2:$D$13))</f>
        <v>July - September</v>
      </c>
      <c r="D110" s="229" t="str" cm="1">
        <f t="array" ref="D110">INDEX(Grid2!$W$27:$W$350,MATCH($B$8&amp;$C$102,Grid2!$U$27:$U$350&amp;Grid2!$V$27:$V$350,0))</f>
        <v>FY27E</v>
      </c>
      <c r="E110" s="229">
        <f>VLOOKUP(C110,Grid2!$I$2:$J$13,2,FALSE)</f>
        <v>3</v>
      </c>
      <c r="F110" s="246" cm="1">
        <f t="array" ref="F110">INDEX(hiredate2_salary,MATCH($D$109&amp;D110,exp_level_hire_date_2&amp;hiredate2_FY,0))</f>
        <v>7146.4628068874981</v>
      </c>
      <c r="G110" s="215">
        <f>Year1!G110</f>
        <v>1</v>
      </c>
      <c r="H110" s="11">
        <f>ROUND(B109*E110*F110*G110,0)</f>
        <v>0</v>
      </c>
    </row>
    <row r="111" spans="1:9" x14ac:dyDescent="0.2">
      <c r="A111" s="5"/>
      <c r="B111" s="443"/>
      <c r="C111" s="229" t="str">
        <f>INDEX(Hiredate2_period2,MATCH(Grid!$K$1,Grid2!$D$2:$D$13))</f>
        <v>October - March</v>
      </c>
      <c r="D111" s="229" t="str" cm="1">
        <f t="array" ref="D111">INDEX(Grid2!$W$27:$W$350,MATCH($B$8&amp;$C$103,Grid2!$U$27:$U$350&amp;Grid2!$V$27:$V$350,0))</f>
        <v>FY28R</v>
      </c>
      <c r="E111" s="229">
        <f>VLOOKUP(C111,Grid2!$K$2:$L$13,2,FALSE)</f>
        <v>6</v>
      </c>
      <c r="F111" s="246" cm="1">
        <f t="array" ref="F111">INDEX(hiredate2_salary,MATCH($D$109&amp;D111,exp_level_hire_date_2&amp;hiredate2_FY,0))</f>
        <v>7358.75</v>
      </c>
      <c r="G111" s="215">
        <f>Year1!G111</f>
        <v>1</v>
      </c>
      <c r="H111" s="11">
        <f>ROUND(B109*E111*F111*G111,0)</f>
        <v>0</v>
      </c>
    </row>
    <row r="112" spans="1:9" x14ac:dyDescent="0.2">
      <c r="A112" s="5"/>
      <c r="B112" s="443"/>
      <c r="C112" s="229" t="str">
        <f>INDEX(hiredate2_period3,MATCH(Grid!$K$1,Grid2!$D$2:$D$13))</f>
        <v>April - June</v>
      </c>
      <c r="D112" s="229" t="str" cm="1">
        <f t="array" ref="D112">INDEX(Grid2!$W$27:$W$350,MATCH($B$8&amp;$C$104,Grid2!$U$27:$U$350&amp;Grid2!$V$27:$V$350,0))</f>
        <v>FY28E</v>
      </c>
      <c r="E112" s="229">
        <f>VLOOKUP(C112,Grid2!$M$2:$N$13,2,FALSE)</f>
        <v>3</v>
      </c>
      <c r="F112" s="246" cm="1">
        <f t="array" ref="F112">INDEX(hiredate2_salary,MATCH(($D$109+1)&amp;D112,exp_level_hire_date_2&amp;hiredate2_FY,0))</f>
        <v>7358.75</v>
      </c>
      <c r="G112" s="215">
        <f>Year1!G112</f>
        <v>1</v>
      </c>
      <c r="H112" s="11">
        <f>ROUND(B109*E112*F112*G112,0)</f>
        <v>0</v>
      </c>
    </row>
    <row r="113" spans="1:8" x14ac:dyDescent="0.2">
      <c r="A113" s="5"/>
      <c r="B113" s="443">
        <f>Year1!B113</f>
        <v>0</v>
      </c>
      <c r="C113" s="6" t="s">
        <v>22</v>
      </c>
      <c r="D113" s="242">
        <f>IF(Year1!D113=Blank,"Blank",Year1!D113+1)</f>
        <v>5</v>
      </c>
      <c r="E113" s="458">
        <f>IF(D113=Blank,"Blank",D113+1)</f>
        <v>6</v>
      </c>
      <c r="F113" s="460"/>
      <c r="G113" s="41"/>
      <c r="H113" s="11"/>
    </row>
    <row r="114" spans="1:8" x14ac:dyDescent="0.2">
      <c r="A114" s="5"/>
      <c r="B114" s="443"/>
      <c r="C114" s="229" t="str">
        <f>INDEX(hiredate2_period1,MATCH(Grid!$K$1,Grid2!$D$2:$D$13))</f>
        <v>July - September</v>
      </c>
      <c r="D114" s="229" t="str" cm="1">
        <f t="array" ref="D114">INDEX(Grid2!$W$27:$W$350,MATCH($B$8&amp;$C$102,Grid2!$U$27:$U$350&amp;Grid2!$V$27:$V$350,0))</f>
        <v>FY27E</v>
      </c>
      <c r="E114" s="229">
        <f>VLOOKUP(C114,Grid2!$I$2:$J$13,2,FALSE)</f>
        <v>3</v>
      </c>
      <c r="F114" s="246" cm="1">
        <f t="array" ref="F114">INDEX(hiredate2_salary,MATCH($D$113&amp;D114,exp_level_hire_date_2&amp;hiredate2_FY,0))</f>
        <v>7146.4628068874981</v>
      </c>
      <c r="G114" s="215">
        <f>Year1!G114</f>
        <v>1</v>
      </c>
      <c r="H114" s="11">
        <f>ROUND(B113*E114*F114*G114,0)</f>
        <v>0</v>
      </c>
    </row>
    <row r="115" spans="1:8" x14ac:dyDescent="0.2">
      <c r="A115" s="5"/>
      <c r="B115" s="443"/>
      <c r="C115" s="229" t="str">
        <f>INDEX(Hiredate2_period2,MATCH(Grid!$K$1,Grid2!$D$2:$D$13))</f>
        <v>October - March</v>
      </c>
      <c r="D115" s="229" t="str" cm="1">
        <f t="array" ref="D115">INDEX(Grid2!$W$27:$W$350,MATCH($B$8&amp;$C$103,Grid2!$U$27:$U$350&amp;Grid2!$V$27:$V$350,0))</f>
        <v>FY28R</v>
      </c>
      <c r="E115" s="229">
        <f>VLOOKUP(C115,Grid2!$K$2:$L$13,2,FALSE)</f>
        <v>6</v>
      </c>
      <c r="F115" s="246" cm="1">
        <f t="array" ref="F115">INDEX(hiredate2_salary,MATCH($D$113&amp;D115,exp_level_hire_date_2&amp;hiredate2_FY,0))</f>
        <v>7358.75</v>
      </c>
      <c r="G115" s="215">
        <f>Year1!G115</f>
        <v>1</v>
      </c>
      <c r="H115" s="11">
        <f>ROUND(B113*E115*F115*G115,0)</f>
        <v>0</v>
      </c>
    </row>
    <row r="116" spans="1:8" x14ac:dyDescent="0.2">
      <c r="A116" s="5"/>
      <c r="B116" s="443"/>
      <c r="C116" s="229" t="str">
        <f>INDEX(hiredate2_period3,MATCH(Grid!$K$1,Grid2!$D$2:$D$13))</f>
        <v>April - June</v>
      </c>
      <c r="D116" s="229" t="str" cm="1">
        <f t="array" ref="D116">INDEX(Grid2!$W$27:$W$350,MATCH($B$8&amp;$C$104,Grid2!$U$27:$U$350&amp;Grid2!$V$27:$V$350,0))</f>
        <v>FY28E</v>
      </c>
      <c r="E116" s="229">
        <f>VLOOKUP(C116,Grid2!$M$2:$N$13,2,FALSE)</f>
        <v>3</v>
      </c>
      <c r="F116" s="246" cm="1">
        <f t="array" ref="F116">INDEX(hiredate2_salary,MATCH(($D$113+1)&amp;D116,exp_level_hire_date_2&amp;hiredate2_FY,0))</f>
        <v>7358.75</v>
      </c>
      <c r="G116" s="215">
        <f>Year1!G116</f>
        <v>1</v>
      </c>
      <c r="H116" s="11">
        <f>ROUND(B113*E116*F116*G116,0)</f>
        <v>0</v>
      </c>
    </row>
    <row r="117" spans="1:8" x14ac:dyDescent="0.2">
      <c r="A117" s="5"/>
      <c r="B117" s="442"/>
      <c r="C117" s="444" t="s">
        <v>1182</v>
      </c>
      <c r="D117" s="445"/>
      <c r="E117" s="225"/>
      <c r="F117" s="246"/>
      <c r="G117" s="215"/>
      <c r="H117" s="11"/>
    </row>
    <row r="118" spans="1:8" x14ac:dyDescent="0.2">
      <c r="A118" s="5"/>
      <c r="B118" s="442">
        <f>Year1!B118</f>
        <v>0</v>
      </c>
      <c r="C118" s="455" t="s">
        <v>22</v>
      </c>
      <c r="D118" s="456" t="str">
        <f>Year1!D118</f>
        <v>Blank</v>
      </c>
      <c r="E118" s="458" t="str">
        <f>IF(AND(Year1!G118&gt;5996,Year1!G118&lt;6350),5,"Blank")</f>
        <v>Blank</v>
      </c>
      <c r="F118" s="459"/>
      <c r="G118" s="41"/>
      <c r="H118" s="11"/>
    </row>
    <row r="119" spans="1:8" x14ac:dyDescent="0.2">
      <c r="A119" s="5"/>
      <c r="B119" s="442"/>
      <c r="C119" s="229" t="str">
        <f>INDEX(per_1_postdoc,MATCH(Grid!$K$1,Beg_mos_postdoc))</f>
        <v>July - September</v>
      </c>
      <c r="D119" s="229" t="str" cm="1">
        <f t="array" ref="D119">INDEX(FY_postdoc,MATCH($B$8&amp;$C$119,date_postdoc&amp;cal_mos_postdoc,0))</f>
        <v>FY27</v>
      </c>
      <c r="E119" s="229">
        <f>VLOOKUP(C119,Grid2!$I$44:$J$55,2,FALSE)</f>
        <v>3</v>
      </c>
      <c r="F119" s="246" cm="1">
        <f t="array" ref="F119">INDEX(MonthlySalaryPX,MATCH(E118&amp;D119,PXlevel&amp;FYPX,0))</f>
        <v>7315.8072650000004</v>
      </c>
      <c r="G119" s="215">
        <f>Year1!G119</f>
        <v>1</v>
      </c>
      <c r="H119" s="11">
        <f>ROUND(B118*E119*F119*G119,0)</f>
        <v>0</v>
      </c>
    </row>
    <row r="120" spans="1:8" x14ac:dyDescent="0.2">
      <c r="A120" s="5"/>
      <c r="B120" s="442"/>
      <c r="C120" s="229" t="str">
        <f>INDEX(Per_2_postdoc,MATCH(Grid!$K$1,Beg_mos_postdoc))</f>
        <v>October - June</v>
      </c>
      <c r="D120" s="229" t="str" cm="1">
        <f t="array" ref="D120">INDEX(FY_postdoc,MATCH($B$8&amp;$C$120,date_postdoc&amp;cal_mos_postdoc,0))</f>
        <v>FY28</v>
      </c>
      <c r="E120" s="229">
        <f>VLOOKUP(C120,Grid2!$K$44:$L$55,2,FALSE)</f>
        <v>9</v>
      </c>
      <c r="F120" s="246" cm="1">
        <f t="array" ref="F120">INDEX(MonthlySalaryPX,MATCH(E118&amp;D120,PXlevel&amp;FYPX,0))</f>
        <v>7535.2814829500003</v>
      </c>
      <c r="G120" s="215">
        <f>Year1!G120</f>
        <v>1</v>
      </c>
      <c r="H120" s="11">
        <f>ROUND(B118*E120*F120*G120,0)</f>
        <v>0</v>
      </c>
    </row>
    <row r="121" spans="1:8" x14ac:dyDescent="0.2">
      <c r="A121" s="5"/>
      <c r="B121" s="442">
        <f>Year1!B121</f>
        <v>0</v>
      </c>
      <c r="C121" s="455" t="s">
        <v>22</v>
      </c>
      <c r="D121" s="456" t="str">
        <f>Year1!D121</f>
        <v>Blank</v>
      </c>
      <c r="E121" s="458" t="str">
        <f>IF(AND(Year1!G121&gt;5996,Year1!G121&lt;6350),5,"Blank")</f>
        <v>Blank</v>
      </c>
      <c r="F121" s="459"/>
      <c r="G121" s="41"/>
      <c r="H121" s="11"/>
    </row>
    <row r="122" spans="1:8" x14ac:dyDescent="0.2">
      <c r="A122" s="5"/>
      <c r="B122" s="442"/>
      <c r="C122" s="229" t="str">
        <f>INDEX(per_1_postdoc,MATCH(Grid!$K$1,Beg_mos_postdoc))</f>
        <v>July - September</v>
      </c>
      <c r="D122" s="229" t="str" cm="1">
        <f t="array" ref="D122">INDEX(FY_postdoc,MATCH($B$8&amp;$C$119,date_postdoc&amp;cal_mos_postdoc,0))</f>
        <v>FY27</v>
      </c>
      <c r="E122" s="229">
        <f>VLOOKUP(C122,Grid2!$I$44:$J$55,2,FALSE)</f>
        <v>3</v>
      </c>
      <c r="F122" s="246" cm="1">
        <f t="array" ref="F122">INDEX(PX_salary2,MATCH(D121&amp;D122,exp_level_2&amp;PXFY2,0))</f>
        <v>7878.56167</v>
      </c>
      <c r="G122" s="215">
        <f>Year1!G122</f>
        <v>1</v>
      </c>
      <c r="H122" s="11">
        <f>ROUND(B121*E122*F122*G122,0)</f>
        <v>0</v>
      </c>
    </row>
    <row r="123" spans="1:8" x14ac:dyDescent="0.2">
      <c r="A123" s="5"/>
      <c r="B123" s="442"/>
      <c r="C123" s="229" t="str">
        <f>INDEX(Per_2_postdoc,MATCH(Grid!$K$1,Beg_mos_postdoc))</f>
        <v>October - June</v>
      </c>
      <c r="D123" s="229" t="str" cm="1">
        <f t="array" ref="D123">INDEX(FY_postdoc,MATCH($B$8&amp;$C$120,date_postdoc&amp;cal_mos_postdoc,0))</f>
        <v>FY28</v>
      </c>
      <c r="E123" s="229">
        <f>VLOOKUP(C123,Grid2!$K$44:$L$55,2,FALSE)</f>
        <v>9</v>
      </c>
      <c r="F123" s="246" cm="1">
        <f t="array" ref="F123">INDEX(PX_salary2,MATCH(D121&amp;D123,exp_level_2&amp;PXFY2,0))</f>
        <v>8114.9185201</v>
      </c>
      <c r="G123" s="215">
        <f>Year1!G123</f>
        <v>1</v>
      </c>
      <c r="H123" s="11">
        <f>ROUND(B121*E123*F123*G123,0)</f>
        <v>0</v>
      </c>
    </row>
    <row r="124" spans="1:8" x14ac:dyDescent="0.2">
      <c r="A124" s="5"/>
      <c r="B124" s="442">
        <f>Year1!B124</f>
        <v>0</v>
      </c>
      <c r="C124" s="455" t="s">
        <v>22</v>
      </c>
      <c r="D124" s="456" t="str">
        <f>Year1!D124</f>
        <v>Blank</v>
      </c>
      <c r="E124" s="458" t="str">
        <f>IF(AND(Year1!G124&gt;5996,Year1!G124&lt;6350),5,"Blank")</f>
        <v>Blank</v>
      </c>
      <c r="F124" s="459"/>
      <c r="G124" s="41"/>
      <c r="H124" s="11"/>
    </row>
    <row r="125" spans="1:8" x14ac:dyDescent="0.2">
      <c r="A125" s="5"/>
      <c r="B125" s="442"/>
      <c r="C125" s="229" t="str">
        <f>INDEX(per_1_postdoc,MATCH(Grid!$K$1,Beg_mos_postdoc))</f>
        <v>July - September</v>
      </c>
      <c r="D125" s="229" t="str" cm="1">
        <f t="array" ref="D125">INDEX(FY_postdoc,MATCH($B$8&amp;$C$119,date_postdoc&amp;cal_mos_postdoc,0))</f>
        <v>FY27</v>
      </c>
      <c r="E125" s="229">
        <f>VLOOKUP(C125,Grid2!$I$44:$J$55,2,FALSE)</f>
        <v>3</v>
      </c>
      <c r="F125" s="246" cm="1">
        <f t="array" ref="F125">INDEX(PX_salary3,MATCH(E124&amp;D125,exp_level_3&amp;PXFY3,0))</f>
        <v>8103.6634320000012</v>
      </c>
      <c r="G125" s="215">
        <f>Year1!G125</f>
        <v>1</v>
      </c>
      <c r="H125" s="11">
        <f>ROUND(B124*E125*F125*G125,0)</f>
        <v>0</v>
      </c>
    </row>
    <row r="126" spans="1:8" x14ac:dyDescent="0.2">
      <c r="A126" s="5"/>
      <c r="B126" s="442"/>
      <c r="C126" s="229" t="str">
        <f>INDEX(Per_2_postdoc,MATCH(Grid!$K$1,Beg_mos_postdoc))</f>
        <v>October - June</v>
      </c>
      <c r="D126" s="229" t="str" cm="1">
        <f t="array" ref="D126">INDEX(FY_postdoc,MATCH($B$8&amp;$C$120,date_postdoc&amp;cal_mos_postdoc,0))</f>
        <v>FY28</v>
      </c>
      <c r="E126" s="229">
        <f>VLOOKUP(C126,Grid2!$K$44:$L$55,2,FALSE)</f>
        <v>9</v>
      </c>
      <c r="F126" s="246" cm="1">
        <f t="array" ref="F126">INDEX(PX_salary3,MATCH(E124&amp;D126,exp_level_3&amp;PXFY3,0))</f>
        <v>8346.7733349600021</v>
      </c>
      <c r="G126" s="215">
        <f>Year1!G126</f>
        <v>1</v>
      </c>
      <c r="H126" s="11">
        <f>ROUND(B124*E126*F126*G126,0)</f>
        <v>0</v>
      </c>
    </row>
    <row r="127" spans="1:8" x14ac:dyDescent="0.2">
      <c r="A127" s="5"/>
      <c r="B127" s="442">
        <f>Year1!B127</f>
        <v>0</v>
      </c>
      <c r="C127" s="6" t="s">
        <v>22</v>
      </c>
      <c r="D127" s="242">
        <f>IF(Year1!D127=Blank,"Blank",Year1!D127+1)</f>
        <v>5</v>
      </c>
      <c r="E127" s="458">
        <f>IF(D127=Blank,"Blank",D127+1)</f>
        <v>6</v>
      </c>
      <c r="F127" s="460"/>
      <c r="G127" s="41"/>
      <c r="H127" s="11"/>
    </row>
    <row r="128" spans="1:8" x14ac:dyDescent="0.2">
      <c r="A128" s="5"/>
      <c r="B128" s="442"/>
      <c r="C128" s="229" t="str">
        <f>INDEX(per_1_postdoc,MATCH(Grid!$K$1,Beg_mos_postdoc))</f>
        <v>July - September</v>
      </c>
      <c r="D128" s="229" t="str" cm="1">
        <f t="array" ref="D128">INDEX(FY_postdoc,MATCH($B$8&amp;$C$119,date_postdoc&amp;cal_mos_postdoc,0))</f>
        <v>FY27</v>
      </c>
      <c r="E128" s="229">
        <f>VLOOKUP(C128,Grid2!$I$44:$J$55,2,FALSE)</f>
        <v>3</v>
      </c>
      <c r="F128" s="246" cm="1">
        <f t="array" ref="F128">INDEX(MonthlySalaryPX,MATCH(D127&amp;D128,PXlevel&amp;FYPX,0))</f>
        <v>7144.416666666667</v>
      </c>
      <c r="G128" s="215">
        <f>Year1!G128</f>
        <v>1</v>
      </c>
      <c r="H128" s="11">
        <f>ROUND(B127*E128*F128*G128,0)</f>
        <v>0</v>
      </c>
    </row>
    <row r="129" spans="1:8" x14ac:dyDescent="0.2">
      <c r="A129" s="5"/>
      <c r="B129" s="442"/>
      <c r="C129" s="229" t="str">
        <f>INDEX(Per_2_postdoc,MATCH(Grid!$K$1,Beg_mos_postdoc))</f>
        <v>October - June</v>
      </c>
      <c r="D129" s="229" t="str" cm="1">
        <f t="array" ref="D129">INDEX(FY_postdoc,MATCH($B$8&amp;$C$120,date_postdoc&amp;cal_mos_postdoc,0))</f>
        <v>FY28</v>
      </c>
      <c r="E129" s="229">
        <f>VLOOKUP(C129,Grid2!$K$44:$L$55,2,FALSE)</f>
        <v>9</v>
      </c>
      <c r="F129" s="246" cm="1">
        <f t="array" ref="F129">INDEX(MonthlySalaryPX,MATCH(E127&amp;D129,PXlevel&amp;FYPX,0))</f>
        <v>7358.75</v>
      </c>
      <c r="G129" s="215">
        <f>Year1!G129</f>
        <v>1</v>
      </c>
      <c r="H129" s="11">
        <f>ROUND(B127*E129*F129*G129,0)</f>
        <v>0</v>
      </c>
    </row>
    <row r="130" spans="1:8" x14ac:dyDescent="0.2">
      <c r="A130" s="5"/>
      <c r="B130" s="442">
        <f>Year1!B130</f>
        <v>0</v>
      </c>
      <c r="C130" s="6" t="s">
        <v>22</v>
      </c>
      <c r="D130" s="242">
        <f>IF(Year1!D130=Blank,"Blank",Year1!D130+1)</f>
        <v>6</v>
      </c>
      <c r="E130" s="458">
        <f>IF(D130=Blank,"Blank",D130+1)</f>
        <v>7</v>
      </c>
      <c r="F130" s="460"/>
      <c r="G130" s="41"/>
      <c r="H130" s="11"/>
    </row>
    <row r="131" spans="1:8" x14ac:dyDescent="0.2">
      <c r="A131" s="5"/>
      <c r="B131" s="442"/>
      <c r="C131" s="229" t="str">
        <f>INDEX(per_1_postdoc,MATCH(Grid!$K$1,Beg_mos_postdoc))</f>
        <v>July - September</v>
      </c>
      <c r="D131" s="229" t="str" cm="1">
        <f t="array" ref="D131">INDEX(FY_postdoc,MATCH($B$8&amp;$C$119,date_postdoc&amp;cal_mos_postdoc,0))</f>
        <v>FY27</v>
      </c>
      <c r="E131" s="229">
        <f>VLOOKUP(C131,Grid2!$I$44:$J$55,2,FALSE)</f>
        <v>3</v>
      </c>
      <c r="F131" s="246" cm="1">
        <f t="array" ref="F131">INDEX(MonthlySalaryPX,MATCH(D130&amp;D131,PXlevel&amp;FYPX,0))</f>
        <v>7144.432499999999</v>
      </c>
      <c r="G131" s="215">
        <f>Year1!G131</f>
        <v>1</v>
      </c>
      <c r="H131" s="11">
        <f>ROUND(B130*E131*F131*G131,0)</f>
        <v>0</v>
      </c>
    </row>
    <row r="132" spans="1:8" x14ac:dyDescent="0.2">
      <c r="A132" s="5"/>
      <c r="B132" s="442"/>
      <c r="C132" s="229" t="str">
        <f>INDEX(Per_2_postdoc,MATCH(Grid!$K$1,Beg_mos_postdoc))</f>
        <v>October - June</v>
      </c>
      <c r="D132" s="229" t="str" cm="1">
        <f t="array" ref="D132">INDEX(FY_postdoc,MATCH($B$8&amp;$C$120,date_postdoc&amp;cal_mos_postdoc,0))</f>
        <v>FY28</v>
      </c>
      <c r="E132" s="229">
        <f>VLOOKUP(C132,Grid2!$K$44:$L$55,2,FALSE)</f>
        <v>9</v>
      </c>
      <c r="F132" s="246" cm="1">
        <f t="array" ref="F132">INDEX(MonthlySalaryPX,MATCH(E130&amp;D132,PXlevel&amp;FYPX,0))</f>
        <v>7358.75</v>
      </c>
      <c r="G132" s="215">
        <f>Year1!G132</f>
        <v>1</v>
      </c>
      <c r="H132" s="11">
        <f>ROUND(B130*E132*F132*G132,0)</f>
        <v>0</v>
      </c>
    </row>
    <row r="133" spans="1:8" x14ac:dyDescent="0.2">
      <c r="A133" s="5"/>
      <c r="B133" s="442">
        <f>Year1!B133</f>
        <v>0</v>
      </c>
      <c r="C133" s="6" t="s">
        <v>22</v>
      </c>
      <c r="D133" s="242">
        <f>IF(Year1!D133=Blank,"Blank",Year1!D133+1)</f>
        <v>6</v>
      </c>
      <c r="E133" s="458">
        <f>IF(D133=Blank,"Blank",D133+1)</f>
        <v>7</v>
      </c>
      <c r="F133" s="460"/>
      <c r="G133" s="41"/>
      <c r="H133" s="11"/>
    </row>
    <row r="134" spans="1:8" x14ac:dyDescent="0.2">
      <c r="A134" s="5"/>
      <c r="B134" s="442"/>
      <c r="C134" s="229" t="str">
        <f>INDEX(per_1_postdoc,MATCH(Grid!$K$1,Beg_mos_postdoc))</f>
        <v>July - September</v>
      </c>
      <c r="D134" s="229" t="str" cm="1">
        <f t="array" ref="D134">INDEX(FY_postdoc,MATCH($B$8&amp;$C$119,date_postdoc&amp;cal_mos_postdoc,0))</f>
        <v>FY27</v>
      </c>
      <c r="E134" s="229">
        <f>VLOOKUP(C134,Grid2!$I$44:$J$55,2,FALSE)</f>
        <v>3</v>
      </c>
      <c r="F134" s="246" cm="1">
        <f t="array" ref="F134">INDEX(MonthlySalaryPX,MATCH(D133&amp;D134,PXlevel&amp;FYPX,0))</f>
        <v>7144.432499999999</v>
      </c>
      <c r="G134" s="215">
        <f>Year1!G134</f>
        <v>1</v>
      </c>
      <c r="H134" s="11">
        <f>ROUND(B133*E134*F134*G134,0)</f>
        <v>0</v>
      </c>
    </row>
    <row r="135" spans="1:8" x14ac:dyDescent="0.2">
      <c r="A135" s="5"/>
      <c r="B135" s="442"/>
      <c r="C135" s="229" t="str">
        <f>INDEX(Per_2_postdoc,MATCH(Grid!$K$1,Beg_mos_postdoc))</f>
        <v>October - June</v>
      </c>
      <c r="D135" s="229" t="str" cm="1">
        <f t="array" ref="D135">INDEX(FY_postdoc,MATCH($B$8&amp;$C$120,date_postdoc&amp;cal_mos_postdoc,0))</f>
        <v>FY28</v>
      </c>
      <c r="E135" s="229">
        <f>VLOOKUP(C135,Grid2!$K$44:$L$55,2,FALSE)</f>
        <v>9</v>
      </c>
      <c r="F135" s="246" cm="1">
        <f t="array" ref="F135">INDEX(MonthlySalaryPX,MATCH(E133&amp;D135,PXlevel&amp;FYPX,0))</f>
        <v>7358.75</v>
      </c>
      <c r="G135" s="215">
        <f>Year1!G135</f>
        <v>1</v>
      </c>
      <c r="H135" s="11">
        <f>ROUND(B133*E135*F135*G135,0)</f>
        <v>0</v>
      </c>
    </row>
    <row r="136" spans="1:8" x14ac:dyDescent="0.2">
      <c r="A136" s="5"/>
      <c r="B136" s="442">
        <f>Year1!B136</f>
        <v>0</v>
      </c>
      <c r="C136" s="6" t="s">
        <v>22</v>
      </c>
      <c r="D136" s="242">
        <f>IF(Year1!D136=Blank,"Blank",Year1!D136+1)</f>
        <v>6</v>
      </c>
      <c r="E136" s="458">
        <f>IF(D136=Blank,"Blank",D136+1)</f>
        <v>7</v>
      </c>
      <c r="F136" s="460"/>
      <c r="G136" s="41"/>
      <c r="H136" s="11"/>
    </row>
    <row r="137" spans="1:8" x14ac:dyDescent="0.2">
      <c r="A137" s="5"/>
      <c r="B137" s="442"/>
      <c r="C137" s="229" t="str">
        <f>INDEX(per_1_postdoc,MATCH(Grid!$K$1,Beg_mos_postdoc))</f>
        <v>July - September</v>
      </c>
      <c r="D137" s="229" t="str" cm="1">
        <f t="array" ref="D137">INDEX(FY_postdoc,MATCH($B$8&amp;$C$119,date_postdoc&amp;cal_mos_postdoc,0))</f>
        <v>FY27</v>
      </c>
      <c r="E137" s="229">
        <f>VLOOKUP(C137,Grid2!$I$44:$J$55,2,FALSE)</f>
        <v>3</v>
      </c>
      <c r="F137" s="246" cm="1">
        <f t="array" ref="F137">INDEX(MonthlySalaryPX,MATCH(D136&amp;D137,PXlevel&amp;FYPX,0))</f>
        <v>7144.432499999999</v>
      </c>
      <c r="G137" s="215">
        <f>Year1!G137</f>
        <v>1</v>
      </c>
      <c r="H137" s="11">
        <f>ROUND(B136*E137*F137*G137,0)</f>
        <v>0</v>
      </c>
    </row>
    <row r="138" spans="1:8" x14ac:dyDescent="0.2">
      <c r="A138" s="5"/>
      <c r="B138" s="442"/>
      <c r="C138" s="229" t="str">
        <f>INDEX(Per_2_postdoc,MATCH(Grid!$K$1,Beg_mos_postdoc))</f>
        <v>October - June</v>
      </c>
      <c r="D138" s="229" t="str" cm="1">
        <f t="array" ref="D138">INDEX(FY_postdoc,MATCH($B$8&amp;$C$120,date_postdoc&amp;cal_mos_postdoc,0))</f>
        <v>FY28</v>
      </c>
      <c r="E138" s="229">
        <f>VLOOKUP(C138,Grid2!$K$44:$L$55,2,FALSE)</f>
        <v>9</v>
      </c>
      <c r="F138" s="246" cm="1">
        <f t="array" ref="F138">INDEX(MonthlySalaryPX,MATCH(E136&amp;D138,PXlevel&amp;FYPX,0))</f>
        <v>7358.75</v>
      </c>
      <c r="G138" s="215">
        <f>Year1!G138</f>
        <v>1</v>
      </c>
      <c r="H138" s="11">
        <f>ROUND(B136*E138*F138*G138,0)</f>
        <v>0</v>
      </c>
    </row>
    <row r="139" spans="1:8" x14ac:dyDescent="0.2">
      <c r="A139" s="5"/>
      <c r="B139" s="442">
        <f>Year1!B139</f>
        <v>0</v>
      </c>
      <c r="C139" s="6" t="s">
        <v>22</v>
      </c>
      <c r="D139" s="242">
        <f>IF(Year1!D139=Blank,"Blank",Year1!D139+1)</f>
        <v>6</v>
      </c>
      <c r="E139" s="458">
        <f>IF(D139=Blank,"Blank",D139+1)</f>
        <v>7</v>
      </c>
      <c r="F139" s="460"/>
      <c r="G139" s="41"/>
      <c r="H139" s="11"/>
    </row>
    <row r="140" spans="1:8" x14ac:dyDescent="0.2">
      <c r="A140" s="5"/>
      <c r="B140" s="442"/>
      <c r="C140" s="229" t="str">
        <f>INDEX(per_1_postdoc,MATCH(Grid!$K$1,Beg_mos_postdoc))</f>
        <v>July - September</v>
      </c>
      <c r="D140" s="229" t="str" cm="1">
        <f t="array" ref="D140">INDEX(FY_postdoc,MATCH($B$8&amp;$C$119,date_postdoc&amp;cal_mos_postdoc,0))</f>
        <v>FY27</v>
      </c>
      <c r="E140" s="229">
        <f>VLOOKUP(C140,Grid2!$I$44:$J$55,2,FALSE)</f>
        <v>3</v>
      </c>
      <c r="F140" s="246" cm="1">
        <f t="array" ref="F140">INDEX(MonthlySalaryPX,MATCH(D139&amp;D140,PXlevel&amp;FYPX,0))</f>
        <v>7144.432499999999</v>
      </c>
      <c r="G140" s="215">
        <f>Year1!G140</f>
        <v>1</v>
      </c>
      <c r="H140" s="11">
        <f>ROUND(B139*E140*F140*G140,0)</f>
        <v>0</v>
      </c>
    </row>
    <row r="141" spans="1:8" x14ac:dyDescent="0.2">
      <c r="A141" s="5"/>
      <c r="B141" s="442"/>
      <c r="C141" s="229" t="str">
        <f>INDEX(Per_2_postdoc,MATCH(Grid!$K$1,Beg_mos_postdoc))</f>
        <v>October - June</v>
      </c>
      <c r="D141" s="229" t="str" cm="1">
        <f t="array" ref="D141">INDEX(FY_postdoc,MATCH($B$8&amp;$C$120,date_postdoc&amp;cal_mos_postdoc,0))</f>
        <v>FY28</v>
      </c>
      <c r="E141" s="229">
        <f>VLOOKUP(C141,Grid2!$K$44:$L$55,2,FALSE)</f>
        <v>9</v>
      </c>
      <c r="F141" s="246" cm="1">
        <f t="array" ref="F141">INDEX(MonthlySalaryPX,MATCH(E139&amp;D141,PXlevel&amp;FYPX,0))</f>
        <v>7358.75</v>
      </c>
      <c r="G141" s="215">
        <f>Year1!G141</f>
        <v>1</v>
      </c>
      <c r="H141" s="11">
        <f>ROUND(B139*E141*F141*G141,0)</f>
        <v>0</v>
      </c>
    </row>
    <row r="142" spans="1:8" x14ac:dyDescent="0.2">
      <c r="A142" s="5"/>
      <c r="B142" s="442">
        <f>Year1!B142</f>
        <v>0</v>
      </c>
      <c r="C142" s="6" t="s">
        <v>22</v>
      </c>
      <c r="D142" s="242">
        <f>IF(Year1!D142=Blank,"Blank",Year1!D142+1)</f>
        <v>6</v>
      </c>
      <c r="E142" s="458">
        <f>IF(D142=Blank,"Blank",D142+1)</f>
        <v>7</v>
      </c>
      <c r="F142" s="460"/>
      <c r="G142" s="41"/>
      <c r="H142" s="11"/>
    </row>
    <row r="143" spans="1:8" x14ac:dyDescent="0.2">
      <c r="A143" s="5"/>
      <c r="B143" s="442"/>
      <c r="C143" s="229" t="str">
        <f>INDEX(per_1_postdoc,MATCH(Grid!$K$1,Beg_mos_postdoc))</f>
        <v>July - September</v>
      </c>
      <c r="D143" s="229" t="str" cm="1">
        <f t="array" ref="D143">INDEX(FY_postdoc,MATCH($B$8&amp;$C$119,date_postdoc&amp;cal_mos_postdoc,0))</f>
        <v>FY27</v>
      </c>
      <c r="E143" s="229">
        <f>VLOOKUP(C143,Grid2!$I$44:$J$55,2,FALSE)</f>
        <v>3</v>
      </c>
      <c r="F143" s="246" cm="1">
        <f t="array" ref="F143">INDEX(MonthlySalaryPX,MATCH(D142&amp;D143,PXlevel&amp;FYPX,0))</f>
        <v>7144.432499999999</v>
      </c>
      <c r="G143" s="215">
        <f>Year1!G143</f>
        <v>1</v>
      </c>
      <c r="H143" s="11">
        <f>ROUND(B142*E143*F143*G143,0)</f>
        <v>0</v>
      </c>
    </row>
    <row r="144" spans="1:8" x14ac:dyDescent="0.2">
      <c r="A144" s="5"/>
      <c r="B144" s="442"/>
      <c r="C144" s="229" t="str">
        <f>INDEX(Per_2_postdoc,MATCH(Grid!$K$1,Beg_mos_postdoc))</f>
        <v>October - June</v>
      </c>
      <c r="D144" s="229" t="str" cm="1">
        <f t="array" ref="D144">INDEX(FY_postdoc,MATCH($B$8&amp;$C$120,date_postdoc&amp;cal_mos_postdoc,0))</f>
        <v>FY28</v>
      </c>
      <c r="E144" s="229">
        <f>VLOOKUP(C144,Grid2!$K$44:$L$55,2,FALSE)</f>
        <v>9</v>
      </c>
      <c r="F144" s="246" cm="1">
        <f t="array" ref="F144">INDEX(MonthlySalaryPX,MATCH(E142&amp;D144,PXlevel&amp;FYPX,0))</f>
        <v>7358.75</v>
      </c>
      <c r="G144" s="215">
        <f>Year1!G144</f>
        <v>1</v>
      </c>
      <c r="H144" s="11">
        <f>ROUND(B142*E144*F144*G144,0)</f>
        <v>0</v>
      </c>
    </row>
    <row r="145" spans="1:8" x14ac:dyDescent="0.2">
      <c r="A145" s="5"/>
      <c r="B145" s="442">
        <f>Year1!B145</f>
        <v>0</v>
      </c>
      <c r="C145" s="6" t="s">
        <v>22</v>
      </c>
      <c r="D145" s="242">
        <f>IF(Year1!D145=Blank,"Blank",Year1!D145+1)</f>
        <v>6</v>
      </c>
      <c r="E145" s="458">
        <f>IF(D145=Blank,"Blank",D145+1)</f>
        <v>7</v>
      </c>
      <c r="F145" s="460"/>
      <c r="G145" s="41"/>
      <c r="H145" s="11"/>
    </row>
    <row r="146" spans="1:8" x14ac:dyDescent="0.2">
      <c r="A146" s="5"/>
      <c r="B146" s="442"/>
      <c r="C146" s="229" t="str">
        <f>INDEX(per_1_postdoc,MATCH(Grid!$K$1,Beg_mos_postdoc))</f>
        <v>July - September</v>
      </c>
      <c r="D146" s="229" t="str" cm="1">
        <f t="array" ref="D146">INDEX(FY_postdoc,MATCH($B$8&amp;$C$119,date_postdoc&amp;cal_mos_postdoc,0))</f>
        <v>FY27</v>
      </c>
      <c r="E146" s="229">
        <f>VLOOKUP(C146,Grid2!$I$44:$J$55,2,FALSE)</f>
        <v>3</v>
      </c>
      <c r="F146" s="246" cm="1">
        <f t="array" ref="F146">INDEX(MonthlySalaryPX,MATCH(D145&amp;D146,PXlevel&amp;FYPX,0))</f>
        <v>7144.432499999999</v>
      </c>
      <c r="G146" s="215">
        <f>Year1!G146</f>
        <v>1</v>
      </c>
      <c r="H146" s="11">
        <f>ROUND(B145*E146*F146*G146,0)</f>
        <v>0</v>
      </c>
    </row>
    <row r="147" spans="1:8" x14ac:dyDescent="0.2">
      <c r="A147" s="5"/>
      <c r="B147" s="442"/>
      <c r="C147" s="229" t="str">
        <f>INDEX(Per_2_postdoc,MATCH(Grid!$K$1,Beg_mos_postdoc))</f>
        <v>October - June</v>
      </c>
      <c r="D147" s="229" t="str" cm="1">
        <f t="array" ref="D147">INDEX(FY_postdoc,MATCH($B$8&amp;$C$120,date_postdoc&amp;cal_mos_postdoc,0))</f>
        <v>FY28</v>
      </c>
      <c r="E147" s="229">
        <f>VLOOKUP(C147,Grid2!$K$44:$L$55,2,FALSE)</f>
        <v>9</v>
      </c>
      <c r="F147" s="246" cm="1">
        <f t="array" ref="F147">INDEX(MonthlySalaryPX,MATCH(E145&amp;D147,PXlevel&amp;FYPX,0))</f>
        <v>7358.75</v>
      </c>
      <c r="G147" s="215">
        <f>Year1!G147</f>
        <v>1</v>
      </c>
      <c r="H147" s="11">
        <f>ROUND(B145*E147*F147*G147,0)</f>
        <v>0</v>
      </c>
    </row>
    <row r="148" spans="1:8" ht="13.5" thickBot="1" x14ac:dyDescent="0.25">
      <c r="A148" s="5"/>
      <c r="C148" s="13" t="s">
        <v>133</v>
      </c>
      <c r="D148" s="427" t="s">
        <v>1127</v>
      </c>
      <c r="E148" s="224"/>
      <c r="F148" s="297">
        <f>H147+H146+H144+H143+H141+H140+H138+H137+H135+H134+H132+H131+H129+H128+H120+H119+H116+H115+H114+H112+H111+H110+H108+H107+H106+H104+H103+H102+H122+H123+H125+H126</f>
        <v>0</v>
      </c>
      <c r="G148" s="8" t="s">
        <v>9</v>
      </c>
      <c r="H148" s="21">
        <f>IF(Year1!H8=1,0,SUM(H84:H147))</f>
        <v>0</v>
      </c>
    </row>
    <row r="149" spans="1:8" ht="13.5" thickBot="1" x14ac:dyDescent="0.25">
      <c r="A149" s="292" t="s">
        <v>15</v>
      </c>
      <c r="B149" s="234"/>
      <c r="C149" s="234"/>
      <c r="D149" s="234"/>
      <c r="E149" s="234"/>
      <c r="F149" s="234"/>
      <c r="G149" s="234"/>
      <c r="H149" s="293">
        <f>H23+H81+H148</f>
        <v>0</v>
      </c>
    </row>
    <row r="150" spans="1:8" x14ac:dyDescent="0.2">
      <c r="A150" s="3" t="s">
        <v>16</v>
      </c>
      <c r="B150" s="14"/>
      <c r="C150" s="2"/>
      <c r="D150" s="2"/>
      <c r="E150" s="2"/>
      <c r="F150" s="2"/>
      <c r="G150" s="14" t="s">
        <v>20</v>
      </c>
      <c r="H150" s="121" t="s">
        <v>8</v>
      </c>
    </row>
    <row r="151" spans="1:8" x14ac:dyDescent="0.2">
      <c r="A151" s="5"/>
      <c r="B151" s="6" t="s">
        <v>19</v>
      </c>
      <c r="C151" s="6"/>
      <c r="D151" s="6"/>
      <c r="E151" s="6"/>
      <c r="F151" s="262" t="s">
        <v>543</v>
      </c>
      <c r="G151" s="23">
        <f>LOOKUP($B$8,Grid!$E$331:$E$414,Grid!$H$331:$H$414)</f>
        <v>0.153</v>
      </c>
      <c r="H151" s="11">
        <f>(SUMIF($B$12:$B$22,"Academic",$H$12:$H$22)*$G$151)</f>
        <v>0</v>
      </c>
    </row>
    <row r="152" spans="1:8" x14ac:dyDescent="0.2">
      <c r="A152" s="5"/>
      <c r="B152" s="6"/>
      <c r="C152" s="6"/>
      <c r="D152" s="6"/>
      <c r="E152" s="6"/>
      <c r="F152" s="262" t="s">
        <v>1185</v>
      </c>
      <c r="G152" s="23">
        <f>LOOKUP($B$8,Grid!$E$331:$E$414,Grid!$G$331:$G$414)</f>
        <v>0.36799999999999999</v>
      </c>
      <c r="H152" s="11">
        <f>(SUMIF($B$12:$B$22,"Calendar",$H$12:$H$22)*$G$152)</f>
        <v>0</v>
      </c>
    </row>
    <row r="153" spans="1:8" x14ac:dyDescent="0.2">
      <c r="A153" s="5"/>
      <c r="B153" s="6"/>
      <c r="C153" s="6"/>
      <c r="D153" s="6"/>
      <c r="E153" s="6"/>
      <c r="F153" s="262" t="s">
        <v>1184</v>
      </c>
      <c r="G153" s="23">
        <f>LOOKUP($B$8,Grid!$E$331:$E$414,Grid!$I$331:$I$414)</f>
        <v>0.153</v>
      </c>
      <c r="H153" s="11">
        <f>(SUMIF($B$12:$B$22,"Recall",$H$12:$H$22)*$G$153)</f>
        <v>0</v>
      </c>
    </row>
    <row r="154" spans="1:8" x14ac:dyDescent="0.2">
      <c r="A154" s="5"/>
      <c r="B154" s="6"/>
      <c r="C154" s="6"/>
      <c r="D154" s="13" t="s">
        <v>208</v>
      </c>
      <c r="E154" s="60">
        <f>C25+C33+C41+C49+C57+C65+C73</f>
        <v>0</v>
      </c>
      <c r="F154" s="6"/>
      <c r="G154" s="23"/>
      <c r="H154" s="11"/>
    </row>
    <row r="155" spans="1:8" x14ac:dyDescent="0.2">
      <c r="A155" s="5"/>
      <c r="B155" s="6"/>
      <c r="C155" s="15" t="s">
        <v>52</v>
      </c>
      <c r="D155" s="15"/>
      <c r="E155" s="218">
        <f>Year1!E155</f>
        <v>0</v>
      </c>
      <c r="F155" s="22"/>
      <c r="G155" s="24"/>
      <c r="H155" s="25"/>
    </row>
    <row r="156" spans="1:8" x14ac:dyDescent="0.2">
      <c r="A156" s="5"/>
      <c r="B156" s="22"/>
      <c r="C156" s="15" t="s">
        <v>53</v>
      </c>
      <c r="D156" s="15"/>
      <c r="E156" s="218">
        <f>Year1!E156</f>
        <v>0</v>
      </c>
      <c r="F156" s="22"/>
      <c r="G156" s="24"/>
      <c r="H156" s="25"/>
    </row>
    <row r="157" spans="1:8" x14ac:dyDescent="0.2">
      <c r="A157" s="5"/>
      <c r="B157" s="22"/>
      <c r="C157" s="15"/>
      <c r="D157" s="15" t="s">
        <v>550</v>
      </c>
      <c r="E157" s="13"/>
      <c r="F157" s="13" t="s">
        <v>551</v>
      </c>
      <c r="G157" s="24"/>
      <c r="H157" s="25"/>
    </row>
    <row r="158" spans="1:8" x14ac:dyDescent="0.2">
      <c r="A158" s="5"/>
      <c r="B158" s="22" t="s">
        <v>21</v>
      </c>
      <c r="C158" s="22"/>
      <c r="D158" s="425">
        <f>LOOKUP($B$8,Grid!$E$230:$E$325,Grid!$G$230:$G$325)</f>
        <v>3623</v>
      </c>
      <c r="E158" s="113"/>
      <c r="F158" s="425">
        <f>LOOKUP($B$8,Grid!$E$230:$E$325,Grid!$H$230:$H$325)</f>
        <v>3623</v>
      </c>
      <c r="G158" s="26">
        <f>ROUND(D158+F158,0)</f>
        <v>7246</v>
      </c>
      <c r="H158" s="25">
        <f>IF(Year1!H8=1,0,(Year2!E155+Year2!E156)*Year2!G158)</f>
        <v>0</v>
      </c>
    </row>
    <row r="159" spans="1:8" x14ac:dyDescent="0.2">
      <c r="A159" s="5"/>
      <c r="B159" s="22" t="s">
        <v>501</v>
      </c>
      <c r="C159" s="22"/>
      <c r="D159" s="425">
        <f>LOOKUP($B$8,Grid!$E$230:$E$325,Grid!$I$230:$I$325)</f>
        <v>9070</v>
      </c>
      <c r="E159" s="113"/>
      <c r="F159" s="425">
        <f>LOOKUP($B$8,Grid!$E$230:$E$325,Grid!$J$230:$J$325)</f>
        <v>9070</v>
      </c>
      <c r="G159" s="26">
        <f>ROUND(D159+F159,0)</f>
        <v>18140</v>
      </c>
      <c r="H159" s="25">
        <f>IF(Year1!H8=1,0,Year2!E155*Year2!G159)</f>
        <v>0</v>
      </c>
    </row>
    <row r="160" spans="1:8" x14ac:dyDescent="0.2">
      <c r="A160" s="5"/>
      <c r="B160" s="22" t="s">
        <v>502</v>
      </c>
      <c r="C160" s="22"/>
      <c r="D160" s="425">
        <f>LOOKUP($B$8,Grid!$E$230:$E$325,Grid!$K$230:$K$325)</f>
        <v>9070</v>
      </c>
      <c r="E160" s="113"/>
      <c r="F160" s="425">
        <f>LOOKUP($B$8,Grid!$E$230:$E$325,Grid!$L$230:$L$325)</f>
        <v>9070</v>
      </c>
      <c r="G160" s="26">
        <f>ROUND(D160+F160,0)</f>
        <v>18140</v>
      </c>
      <c r="H160" s="25">
        <f>IF(Year1!H8=1,0,Year2!E156*Year2!G160)</f>
        <v>0</v>
      </c>
    </row>
    <row r="161" spans="1:8" x14ac:dyDescent="0.2">
      <c r="A161" s="5"/>
      <c r="B161" s="22" t="s">
        <v>503</v>
      </c>
      <c r="C161" s="22"/>
      <c r="D161" s="425">
        <f>LOOKUP($B$8,Grid!$E$230:$E$325,Grid!$M$230:$M$325)</f>
        <v>8494</v>
      </c>
      <c r="E161" s="113"/>
      <c r="F161" s="425">
        <f>LOOKUP($B$8,Grid!$E$230:$E$325,Grid!$N$230:$N$325)</f>
        <v>8494</v>
      </c>
      <c r="G161" s="26">
        <f>ROUND(D161+F161,0)</f>
        <v>16988</v>
      </c>
      <c r="H161" s="25">
        <f>IF(Year1!H8=1,0,Year2!E156*Year2!G161)</f>
        <v>0</v>
      </c>
    </row>
    <row r="162" spans="1:8" x14ac:dyDescent="0.2">
      <c r="A162" s="5"/>
      <c r="B162" s="6" t="s">
        <v>690</v>
      </c>
      <c r="C162" s="6"/>
      <c r="D162" s="6"/>
      <c r="E162" s="430" t="s">
        <v>20</v>
      </c>
      <c r="F162" s="431">
        <f>VLOOKUP($B$8,Grid2!$F$60:$G$137,2,FALSE)</f>
        <v>7.4999999999999997E-3</v>
      </c>
      <c r="G162" s="246">
        <f>IF(OR(D10="Non-Federal"),(H149-F148-H81-H89-H90-H91)*(F162),H149*0)</f>
        <v>0</v>
      </c>
      <c r="H162" s="11">
        <f>G162</f>
        <v>0</v>
      </c>
    </row>
    <row r="163" spans="1:8" x14ac:dyDescent="0.2">
      <c r="A163" s="5"/>
      <c r="B163" s="6" t="s">
        <v>797</v>
      </c>
      <c r="C163" s="22"/>
      <c r="D163" s="204"/>
      <c r="E163" s="113"/>
      <c r="F163" s="204"/>
      <c r="G163" s="465">
        <f>LOOKUP($B$8,Grid!$E$142:$E$225,Grid!$J$142:$J$225)</f>
        <v>2.3E-2</v>
      </c>
      <c r="H163" s="25">
        <f>ROUND((H89+H81+H90+H91)*G163,0)</f>
        <v>0</v>
      </c>
    </row>
    <row r="164" spans="1:8" x14ac:dyDescent="0.2">
      <c r="A164" s="5"/>
      <c r="B164" s="22" t="s">
        <v>22</v>
      </c>
      <c r="C164" s="22"/>
      <c r="D164" s="22"/>
      <c r="E164" s="22"/>
      <c r="F164" s="22"/>
      <c r="G164" s="465">
        <f>LOOKUP($B$8,Grid!$E$142:$E$225,Grid!$I$142:$I$225)</f>
        <v>0.153</v>
      </c>
      <c r="H164" s="25">
        <f>ROUND((F148)*G164,0)</f>
        <v>0</v>
      </c>
    </row>
    <row r="165" spans="1:8" x14ac:dyDescent="0.2">
      <c r="A165" s="5"/>
      <c r="B165" s="22" t="s">
        <v>514</v>
      </c>
      <c r="C165" s="22"/>
      <c r="D165" s="22"/>
      <c r="E165" s="22"/>
      <c r="F165" s="22"/>
      <c r="G165" s="465">
        <f>LOOKUP($B$8,Grid!$E$142:$E$225,Grid!$G$142:$G$225)</f>
        <v>0.36799999999999999</v>
      </c>
      <c r="H165" s="25">
        <f>ROUND((H84+H85+H87+H88)*G165,0)</f>
        <v>0</v>
      </c>
    </row>
    <row r="166" spans="1:8" x14ac:dyDescent="0.2">
      <c r="A166" s="5"/>
      <c r="B166" s="6" t="s">
        <v>1302</v>
      </c>
      <c r="C166" s="22"/>
      <c r="D166" s="22"/>
      <c r="E166" s="22"/>
      <c r="F166" s="22"/>
      <c r="G166" s="465">
        <f>LOOKUP($B$8,Grid!$E$142:$E$225,Grid!$G$142:$G$225)</f>
        <v>0.36799999999999999</v>
      </c>
      <c r="H166" s="25">
        <f>ROUND((H97+H98)*G166,0)</f>
        <v>0</v>
      </c>
    </row>
    <row r="167" spans="1:8" ht="13.5" thickBot="1" x14ac:dyDescent="0.25">
      <c r="A167" s="5"/>
      <c r="B167" s="22" t="s">
        <v>107</v>
      </c>
      <c r="C167" s="22"/>
      <c r="D167" s="22"/>
      <c r="E167" s="22"/>
      <c r="F167" s="22"/>
      <c r="G167" s="465">
        <f>LOOKUP($B$8,Grid!$E$142:$E$225,Grid!$H$142:$H$225)</f>
        <v>0.44800000000000001</v>
      </c>
      <c r="H167" s="25">
        <f>ROUND(SUM(H92:H96)*G167,0)</f>
        <v>0</v>
      </c>
    </row>
    <row r="168" spans="1:8" ht="13.5" thickBot="1" x14ac:dyDescent="0.25">
      <c r="A168" s="292" t="s">
        <v>135</v>
      </c>
      <c r="B168" s="234"/>
      <c r="C168" s="234"/>
      <c r="D168" s="234"/>
      <c r="E168" s="234"/>
      <c r="F168" s="234"/>
      <c r="G168" s="236"/>
      <c r="H168" s="293">
        <f>IF(Year1!H8=1,0,SUM(H151:H167))</f>
        <v>0</v>
      </c>
    </row>
    <row r="169" spans="1:8" ht="13.5" thickBot="1" x14ac:dyDescent="0.25">
      <c r="A169" s="292" t="s">
        <v>34</v>
      </c>
      <c r="B169" s="234"/>
      <c r="C169" s="234"/>
      <c r="D169" s="234"/>
      <c r="E169" s="234"/>
      <c r="F169" s="234"/>
      <c r="G169" s="234"/>
      <c r="H169" s="293">
        <f>H168+H149</f>
        <v>0</v>
      </c>
    </row>
    <row r="170" spans="1:8" x14ac:dyDescent="0.2">
      <c r="A170" s="224" t="s">
        <v>1</v>
      </c>
      <c r="B170" s="225"/>
      <c r="C170" s="230">
        <f>Year1!C6</f>
        <v>0</v>
      </c>
      <c r="D170" s="230"/>
      <c r="E170" s="230"/>
      <c r="F170" s="230"/>
      <c r="G170" s="230"/>
      <c r="H170" s="238"/>
    </row>
    <row r="171" spans="1:8" x14ac:dyDescent="0.2">
      <c r="A171" s="224" t="s">
        <v>2</v>
      </c>
      <c r="B171" s="239">
        <f>Year1!B7</f>
        <v>0</v>
      </c>
      <c r="C171" s="230"/>
      <c r="D171" s="230"/>
      <c r="E171" s="230"/>
      <c r="F171" s="230"/>
      <c r="G171" s="230"/>
      <c r="H171" s="240"/>
    </row>
    <row r="172" spans="1:8" x14ac:dyDescent="0.2">
      <c r="A172" s="224" t="str">
        <f>A8</f>
        <v>Year 2:</v>
      </c>
      <c r="B172" s="226">
        <f>B8</f>
        <v>46569</v>
      </c>
      <c r="C172" s="241" t="str">
        <f>C8</f>
        <v>through</v>
      </c>
      <c r="D172" s="226">
        <f>D8</f>
        <v>46934</v>
      </c>
      <c r="E172" s="229"/>
      <c r="F172" s="229"/>
      <c r="G172" s="229"/>
      <c r="H172" s="240"/>
    </row>
    <row r="173" spans="1:8" x14ac:dyDescent="0.2">
      <c r="A173" s="4" t="s">
        <v>23</v>
      </c>
      <c r="B173" s="27" t="s">
        <v>211</v>
      </c>
      <c r="C173" s="19"/>
      <c r="H173" s="9"/>
    </row>
    <row r="174" spans="1:8" x14ac:dyDescent="0.2">
      <c r="B174" s="6"/>
      <c r="C174" s="15" t="s">
        <v>24</v>
      </c>
      <c r="D174" s="15"/>
      <c r="E174" s="218">
        <v>0</v>
      </c>
      <c r="F174" s="15" t="s">
        <v>32</v>
      </c>
      <c r="G174" s="219">
        <v>3</v>
      </c>
      <c r="H174" s="122" t="s">
        <v>8</v>
      </c>
    </row>
    <row r="175" spans="1:8" x14ac:dyDescent="0.2">
      <c r="A175" s="5"/>
      <c r="C175" s="22"/>
      <c r="D175" s="22"/>
      <c r="E175" s="13" t="s">
        <v>25</v>
      </c>
      <c r="F175" s="13"/>
      <c r="G175" s="220">
        <v>0</v>
      </c>
      <c r="H175" s="25">
        <f>((G174*(C178+C179)+G177+G178+C177)*E174)*G175</f>
        <v>0</v>
      </c>
    </row>
    <row r="176" spans="1:8" x14ac:dyDescent="0.2">
      <c r="A176" s="5"/>
      <c r="B176" s="22"/>
      <c r="C176" s="22"/>
      <c r="D176" s="22"/>
      <c r="E176" s="13" t="s">
        <v>26</v>
      </c>
      <c r="F176" s="13"/>
      <c r="G176" s="220">
        <v>0</v>
      </c>
      <c r="H176" s="25">
        <f>((G174*(C178+C179)+G177+G179+C177)*E174)*G176</f>
        <v>0</v>
      </c>
    </row>
    <row r="177" spans="1:8" x14ac:dyDescent="0.2">
      <c r="A177" s="5"/>
      <c r="B177" s="13" t="s">
        <v>27</v>
      </c>
      <c r="C177" s="44">
        <v>600</v>
      </c>
      <c r="D177" s="44"/>
      <c r="E177" s="13" t="s">
        <v>75</v>
      </c>
      <c r="F177" s="22"/>
      <c r="G177" s="42">
        <v>75</v>
      </c>
      <c r="H177" s="21">
        <f>IF(Year1!H8=1,0,H175+H176)</f>
        <v>0</v>
      </c>
    </row>
    <row r="178" spans="1:8" x14ac:dyDescent="0.2">
      <c r="A178" s="5"/>
      <c r="B178" s="13" t="s">
        <v>28</v>
      </c>
      <c r="C178" s="43">
        <v>92</v>
      </c>
      <c r="D178" s="43"/>
      <c r="E178" s="13" t="s">
        <v>30</v>
      </c>
      <c r="F178" s="22"/>
      <c r="G178" s="43">
        <v>650</v>
      </c>
      <c r="H178" s="25"/>
    </row>
    <row r="179" spans="1:8" x14ac:dyDescent="0.2">
      <c r="A179" s="20"/>
      <c r="B179" s="78" t="s">
        <v>29</v>
      </c>
      <c r="C179" s="79">
        <v>225</v>
      </c>
      <c r="D179" s="79"/>
      <c r="E179" s="78" t="s">
        <v>31</v>
      </c>
      <c r="F179" s="29"/>
      <c r="G179" s="79">
        <v>550</v>
      </c>
      <c r="H179" s="123"/>
    </row>
    <row r="180" spans="1:8" x14ac:dyDescent="0.2">
      <c r="A180" s="5"/>
      <c r="B180" s="27" t="s">
        <v>205</v>
      </c>
      <c r="C180" s="43"/>
      <c r="D180" s="43"/>
      <c r="E180" s="13"/>
      <c r="F180" s="22"/>
      <c r="G180" s="43"/>
      <c r="H180" s="25"/>
    </row>
    <row r="181" spans="1:8" x14ac:dyDescent="0.2">
      <c r="A181" s="5"/>
      <c r="B181" s="22"/>
      <c r="C181" s="15" t="s">
        <v>24</v>
      </c>
      <c r="D181" s="15"/>
      <c r="E181" s="218">
        <v>0</v>
      </c>
      <c r="F181" s="15" t="s">
        <v>32</v>
      </c>
      <c r="G181" s="219">
        <v>5</v>
      </c>
      <c r="H181" s="25"/>
    </row>
    <row r="182" spans="1:8" x14ac:dyDescent="0.2">
      <c r="A182" s="5"/>
      <c r="B182" s="13" t="s">
        <v>27</v>
      </c>
      <c r="C182" s="44">
        <v>1200</v>
      </c>
      <c r="D182" s="22"/>
      <c r="E182" s="13" t="s">
        <v>25</v>
      </c>
      <c r="F182" s="13"/>
      <c r="G182" s="220">
        <v>1</v>
      </c>
      <c r="H182" s="25">
        <f>((G181*(C183)+G184+C184+C182)*E181)*G182</f>
        <v>0</v>
      </c>
    </row>
    <row r="183" spans="1:8" x14ac:dyDescent="0.2">
      <c r="A183" s="5"/>
      <c r="B183" s="13" t="s">
        <v>33</v>
      </c>
      <c r="C183" s="43">
        <v>295</v>
      </c>
      <c r="D183" s="44"/>
      <c r="E183" s="13" t="s">
        <v>26</v>
      </c>
      <c r="F183" s="13"/>
      <c r="G183" s="220">
        <v>0</v>
      </c>
      <c r="H183" s="25">
        <f>((G181*(C183)+C184+G185+C182)*E181)*G183</f>
        <v>0</v>
      </c>
    </row>
    <row r="184" spans="1:8" x14ac:dyDescent="0.2">
      <c r="A184" s="5"/>
      <c r="B184" s="13" t="s">
        <v>206</v>
      </c>
      <c r="C184" s="42">
        <v>75</v>
      </c>
      <c r="D184" s="43"/>
      <c r="E184" s="13" t="s">
        <v>30</v>
      </c>
      <c r="F184" s="22"/>
      <c r="G184" s="43">
        <v>650</v>
      </c>
      <c r="H184" s="21">
        <f>IF(Year1!H8=1,0,H182+H183)</f>
        <v>0</v>
      </c>
    </row>
    <row r="185" spans="1:8" ht="13.5" thickBot="1" x14ac:dyDescent="0.25">
      <c r="A185" s="80"/>
      <c r="B185" s="81"/>
      <c r="C185" s="81"/>
      <c r="D185" s="81"/>
      <c r="E185" s="82" t="s">
        <v>31</v>
      </c>
      <c r="F185" s="81"/>
      <c r="G185" s="83">
        <v>550</v>
      </c>
      <c r="H185" s="124"/>
    </row>
    <row r="186" spans="1:8" x14ac:dyDescent="0.2">
      <c r="A186" s="294" t="s">
        <v>45</v>
      </c>
      <c r="B186" s="225"/>
      <c r="C186" s="225"/>
      <c r="D186" s="225"/>
      <c r="E186" s="254"/>
      <c r="F186" s="225"/>
      <c r="G186" s="225"/>
      <c r="H186" s="259">
        <f>H177+H184</f>
        <v>0</v>
      </c>
    </row>
    <row r="187" spans="1:8" x14ac:dyDescent="0.2">
      <c r="A187" s="3" t="s">
        <v>35</v>
      </c>
      <c r="B187" s="2"/>
      <c r="C187" s="16" t="s">
        <v>73</v>
      </c>
      <c r="D187" s="16"/>
      <c r="E187" s="2"/>
      <c r="F187" s="2" t="s">
        <v>36</v>
      </c>
      <c r="G187" s="2"/>
      <c r="H187" s="125"/>
    </row>
    <row r="188" spans="1:8" x14ac:dyDescent="0.2">
      <c r="A188" s="5"/>
      <c r="B188" s="15">
        <v>1</v>
      </c>
      <c r="C188" s="221"/>
      <c r="D188" s="221"/>
      <c r="E188" s="221"/>
      <c r="F188" s="222"/>
      <c r="H188" s="9"/>
    </row>
    <row r="189" spans="1:8" x14ac:dyDescent="0.2">
      <c r="A189" s="5"/>
      <c r="B189" s="15">
        <v>2</v>
      </c>
      <c r="C189" s="221"/>
      <c r="D189" s="221"/>
      <c r="E189" s="221"/>
      <c r="F189" s="222">
        <v>0</v>
      </c>
      <c r="H189" s="9"/>
    </row>
    <row r="190" spans="1:8" ht="13.5" thickBot="1" x14ac:dyDescent="0.25">
      <c r="A190" s="5"/>
      <c r="B190" s="15">
        <v>3</v>
      </c>
      <c r="C190" s="221"/>
      <c r="D190" s="221"/>
      <c r="E190" s="221"/>
      <c r="F190" s="222">
        <v>0</v>
      </c>
      <c r="H190" s="9"/>
    </row>
    <row r="191" spans="1:8" x14ac:dyDescent="0.2">
      <c r="A191" s="295" t="s">
        <v>46</v>
      </c>
      <c r="B191" s="256"/>
      <c r="C191" s="256"/>
      <c r="D191" s="256"/>
      <c r="E191" s="256"/>
      <c r="F191" s="256"/>
      <c r="G191" s="256" t="s">
        <v>9</v>
      </c>
      <c r="H191" s="296">
        <f>IF(Year1!H8=1,0,SUM(F188:F190))</f>
        <v>0</v>
      </c>
    </row>
    <row r="192" spans="1:8" x14ac:dyDescent="0.2">
      <c r="A192" s="3" t="s">
        <v>37</v>
      </c>
      <c r="B192" s="2"/>
      <c r="E192" t="s">
        <v>42</v>
      </c>
      <c r="F192" t="s">
        <v>36</v>
      </c>
      <c r="G192" s="469"/>
      <c r="H192" s="125"/>
    </row>
    <row r="193" spans="1:8" x14ac:dyDescent="0.2">
      <c r="A193" s="5"/>
      <c r="C193" s="13" t="s">
        <v>1195</v>
      </c>
      <c r="D193" s="13"/>
      <c r="E193" s="218">
        <v>0</v>
      </c>
      <c r="F193" s="223">
        <v>0</v>
      </c>
      <c r="G193" s="6"/>
      <c r="H193" s="11">
        <f>IF(Year1!$H$8=1,0,E193*F193)</f>
        <v>0</v>
      </c>
    </row>
    <row r="194" spans="1:8" x14ac:dyDescent="0.2">
      <c r="A194" s="5"/>
      <c r="C194" s="13" t="s">
        <v>1192</v>
      </c>
      <c r="D194" s="13"/>
      <c r="E194" s="218">
        <v>0</v>
      </c>
      <c r="F194" s="223">
        <v>0</v>
      </c>
      <c r="G194" s="6"/>
      <c r="H194" s="11">
        <f>IF(Year1!$H$8=1,0,E194*F194)</f>
        <v>0</v>
      </c>
    </row>
    <row r="195" spans="1:8" x14ac:dyDescent="0.2">
      <c r="A195" s="5"/>
      <c r="C195" s="13" t="s">
        <v>1193</v>
      </c>
      <c r="D195" s="13"/>
      <c r="E195" s="218">
        <v>0</v>
      </c>
      <c r="F195" s="223">
        <v>0</v>
      </c>
      <c r="G195" s="6"/>
      <c r="H195" s="11">
        <f>IF(Year1!$H$8=1,0,E195*F195)</f>
        <v>0</v>
      </c>
    </row>
    <row r="196" spans="1:8" x14ac:dyDescent="0.2">
      <c r="A196" s="5"/>
      <c r="C196" s="13" t="s">
        <v>1194</v>
      </c>
      <c r="D196" s="13"/>
      <c r="E196" s="218">
        <v>0</v>
      </c>
      <c r="F196" s="223">
        <v>0</v>
      </c>
      <c r="G196" s="6"/>
      <c r="H196" s="11">
        <f>IF(Year1!$H$8=1,0,E196*F196)</f>
        <v>0</v>
      </c>
    </row>
    <row r="197" spans="1:8" x14ac:dyDescent="0.2">
      <c r="A197" s="5"/>
      <c r="B197" s="6" t="s">
        <v>38</v>
      </c>
      <c r="C197" s="6"/>
      <c r="D197" s="13"/>
      <c r="E197" s="105"/>
      <c r="F197" s="31"/>
      <c r="G197" s="6"/>
      <c r="H197" s="11"/>
    </row>
    <row r="198" spans="1:8" x14ac:dyDescent="0.2">
      <c r="A198" s="5"/>
      <c r="C198" s="6" t="s">
        <v>90</v>
      </c>
      <c r="D198" s="6"/>
      <c r="E198" s="213">
        <v>0</v>
      </c>
      <c r="F198" s="41">
        <f>Year1!F198</f>
        <v>3740.14</v>
      </c>
      <c r="G198" s="6"/>
      <c r="H198" s="11">
        <f>IF(Year1!H8=1,0,E198*F198)</f>
        <v>0</v>
      </c>
    </row>
    <row r="199" spans="1:8" x14ac:dyDescent="0.2">
      <c r="A199" s="5"/>
      <c r="C199" s="6" t="s">
        <v>39</v>
      </c>
      <c r="D199" s="6"/>
      <c r="E199" s="213">
        <f>Year1!E199</f>
        <v>0</v>
      </c>
      <c r="F199" s="41">
        <f>Year1!F199</f>
        <v>2940</v>
      </c>
      <c r="G199" s="6"/>
      <c r="H199" s="11">
        <f>IF(Year1!H8=1,0,E199*F199)</f>
        <v>0</v>
      </c>
    </row>
    <row r="200" spans="1:8" x14ac:dyDescent="0.2">
      <c r="A200" s="5"/>
      <c r="C200" s="6" t="s">
        <v>260</v>
      </c>
      <c r="D200" s="6"/>
      <c r="E200" s="213">
        <f>Year1!E200</f>
        <v>0</v>
      </c>
      <c r="F200" s="41">
        <f>Year1!F200</f>
        <v>990</v>
      </c>
      <c r="G200" s="6"/>
      <c r="H200" s="11">
        <f>IF(Year1!H8=1,0,E200*F200)</f>
        <v>0</v>
      </c>
    </row>
    <row r="201" spans="1:8" x14ac:dyDescent="0.2">
      <c r="A201" s="5"/>
      <c r="C201" s="6" t="s">
        <v>40</v>
      </c>
      <c r="D201" s="6"/>
      <c r="E201" s="213">
        <f>Year1!E201</f>
        <v>0</v>
      </c>
      <c r="F201" s="41">
        <f>Year1!F201</f>
        <v>105</v>
      </c>
      <c r="G201" s="213">
        <f>Year1!G201</f>
        <v>12</v>
      </c>
      <c r="H201" s="11">
        <f>IF(Year1!H8=1,0,E201*F201*G201)</f>
        <v>0</v>
      </c>
    </row>
    <row r="202" spans="1:8" x14ac:dyDescent="0.2">
      <c r="A202" s="5"/>
      <c r="C202" s="6" t="s">
        <v>41</v>
      </c>
      <c r="D202" s="6"/>
      <c r="E202" s="213">
        <f>Year1!E202</f>
        <v>0</v>
      </c>
      <c r="F202" s="41">
        <f>Year1!F202</f>
        <v>5</v>
      </c>
      <c r="G202" s="213">
        <f>Year1!G202</f>
        <v>12</v>
      </c>
      <c r="H202" s="11">
        <f>IF(Year1!H8=1,0,E202*F202*G202)</f>
        <v>0</v>
      </c>
    </row>
    <row r="203" spans="1:8" x14ac:dyDescent="0.2">
      <c r="A203" s="5"/>
      <c r="C203" s="6" t="s">
        <v>259</v>
      </c>
      <c r="D203" s="6"/>
      <c r="E203" s="213">
        <f>Year1!E203</f>
        <v>0</v>
      </c>
      <c r="F203" s="41">
        <f>Year1!F203</f>
        <v>10</v>
      </c>
      <c r="G203" s="213">
        <f>Year1!G203</f>
        <v>12</v>
      </c>
      <c r="H203" s="11">
        <f>IF(Year1!H8=1,0,E203*F203*G203)</f>
        <v>0</v>
      </c>
    </row>
    <row r="204" spans="1:8" x14ac:dyDescent="0.2">
      <c r="A204" s="5"/>
      <c r="B204" s="6" t="s">
        <v>1141</v>
      </c>
      <c r="C204" s="6"/>
      <c r="D204" s="6"/>
      <c r="E204" s="213">
        <v>0</v>
      </c>
      <c r="F204" s="41">
        <f>Year1!F204</f>
        <v>90.4</v>
      </c>
      <c r="G204" s="213">
        <f>Year1!G204</f>
        <v>12</v>
      </c>
      <c r="H204" s="11">
        <f>IF(Year1!H8=1,0,E204*F204*G204)</f>
        <v>0</v>
      </c>
    </row>
    <row r="205" spans="1:8" x14ac:dyDescent="0.2">
      <c r="A205" s="5"/>
      <c r="B205" s="6" t="s">
        <v>1142</v>
      </c>
      <c r="C205" s="6"/>
      <c r="D205" s="6"/>
      <c r="E205" s="6"/>
      <c r="F205" s="31"/>
      <c r="G205" s="6"/>
      <c r="H205" s="11"/>
    </row>
    <row r="206" spans="1:8" x14ac:dyDescent="0.2">
      <c r="A206" s="5"/>
      <c r="C206" s="6" t="s">
        <v>209</v>
      </c>
      <c r="D206" s="6"/>
      <c r="E206" s="213">
        <v>0</v>
      </c>
      <c r="F206" s="41">
        <f>Year1!F206</f>
        <v>1500</v>
      </c>
      <c r="G206" s="213">
        <f>Year1!G206</f>
        <v>12</v>
      </c>
      <c r="H206" s="11">
        <f>IF(Year1!H8=1,0,E206*F206*G206)</f>
        <v>0</v>
      </c>
    </row>
    <row r="207" spans="1:8" x14ac:dyDescent="0.2">
      <c r="A207" s="5"/>
      <c r="C207" s="6" t="s">
        <v>210</v>
      </c>
      <c r="D207" s="6"/>
      <c r="E207" s="213">
        <v>0</v>
      </c>
      <c r="F207" s="41">
        <f>Year1!F207</f>
        <v>1600</v>
      </c>
      <c r="G207" s="213">
        <f>Year1!G207</f>
        <v>12</v>
      </c>
      <c r="H207" s="11">
        <f>IF(Year1!H8=1,0,E207*F207*G207)</f>
        <v>0</v>
      </c>
    </row>
    <row r="208" spans="1:8" x14ac:dyDescent="0.2">
      <c r="A208" s="5"/>
      <c r="B208" s="6" t="s">
        <v>649</v>
      </c>
      <c r="C208" s="6"/>
      <c r="D208" s="6"/>
      <c r="E208" s="6"/>
      <c r="F208" s="195" t="s">
        <v>650</v>
      </c>
      <c r="G208" s="246">
        <f>IF(OR(D10="Non-Federal"),H149*0.0205,H149*0)</f>
        <v>0</v>
      </c>
      <c r="H208" s="11">
        <f>IF(Year1!$H$8=1,0,G208)</f>
        <v>0</v>
      </c>
    </row>
    <row r="209" spans="1:11" x14ac:dyDescent="0.2">
      <c r="A209" s="5"/>
      <c r="B209" s="6" t="s">
        <v>1196</v>
      </c>
      <c r="G209" s="221">
        <v>0</v>
      </c>
      <c r="H209" s="11">
        <f>IF(Year1!$H$8=1,0,G209)</f>
        <v>0</v>
      </c>
    </row>
    <row r="210" spans="1:11" x14ac:dyDescent="0.2">
      <c r="A210" s="5"/>
      <c r="B210" s="6" t="s">
        <v>236</v>
      </c>
      <c r="C210" s="6"/>
      <c r="D210" s="6"/>
      <c r="E210" s="6"/>
      <c r="F210" s="195" t="s">
        <v>650</v>
      </c>
      <c r="G210" s="213">
        <v>0</v>
      </c>
      <c r="H210" s="11">
        <f>IF(Year1!$H$8=1,0,G210)</f>
        <v>0</v>
      </c>
    </row>
    <row r="211" spans="1:11" x14ac:dyDescent="0.2">
      <c r="A211" s="5"/>
      <c r="B211" t="s">
        <v>261</v>
      </c>
      <c r="C211" s="6"/>
      <c r="D211" s="6"/>
      <c r="E211" s="6"/>
      <c r="F211" s="195" t="s">
        <v>650</v>
      </c>
      <c r="G211" s="213">
        <v>0</v>
      </c>
      <c r="H211" s="11">
        <f>IF(Year1!$H$8=1,0,G211)</f>
        <v>0</v>
      </c>
    </row>
    <row r="212" spans="1:11" x14ac:dyDescent="0.2">
      <c r="A212" s="249" t="s">
        <v>424</v>
      </c>
      <c r="B212" s="6" t="s">
        <v>43</v>
      </c>
      <c r="C212" s="6"/>
      <c r="D212" s="6"/>
      <c r="E212" s="196" t="s">
        <v>650</v>
      </c>
      <c r="F212" s="247">
        <v>0</v>
      </c>
      <c r="G212" s="248">
        <v>12</v>
      </c>
      <c r="H212" s="11">
        <f>F212*G212</f>
        <v>0</v>
      </c>
    </row>
    <row r="213" spans="1:11" ht="13.5" thickBot="1" x14ac:dyDescent="0.25">
      <c r="A213" s="249" t="s">
        <v>418</v>
      </c>
      <c r="B213" s="6" t="s">
        <v>44</v>
      </c>
      <c r="C213" s="6"/>
      <c r="D213" s="6"/>
      <c r="E213" s="6"/>
      <c r="F213" s="6"/>
      <c r="G213" s="6"/>
      <c r="H213" s="11"/>
    </row>
    <row r="214" spans="1:11" ht="13.5" thickBot="1" x14ac:dyDescent="0.25">
      <c r="A214" s="292" t="s">
        <v>47</v>
      </c>
      <c r="B214" s="234"/>
      <c r="C214" s="234"/>
      <c r="D214" s="234"/>
      <c r="E214" s="234"/>
      <c r="F214" s="234"/>
      <c r="G214" s="234"/>
      <c r="H214" s="296">
        <f>IF(Year1!H8=1,0,SUM(H193:H212))</f>
        <v>0</v>
      </c>
    </row>
    <row r="215" spans="1:11" ht="13.5" thickBot="1" x14ac:dyDescent="0.25">
      <c r="A215" s="4" t="s">
        <v>49</v>
      </c>
      <c r="B215" s="494" t="s">
        <v>1197</v>
      </c>
      <c r="C215" s="234"/>
      <c r="D215" s="234"/>
      <c r="E215" s="234"/>
      <c r="F215" s="234"/>
      <c r="G215" s="234"/>
      <c r="H215" s="234"/>
    </row>
    <row r="216" spans="1:11" x14ac:dyDescent="0.2">
      <c r="A216" s="4"/>
      <c r="B216" s="330" t="str">
        <f>Year1!B216</f>
        <v>Yes</v>
      </c>
      <c r="C216" s="480">
        <f>Year1!C216</f>
        <v>0</v>
      </c>
      <c r="D216" s="6"/>
      <c r="E216" s="6"/>
      <c r="F216" s="214"/>
      <c r="G216" s="6"/>
      <c r="H216" s="10"/>
    </row>
    <row r="217" spans="1:11" x14ac:dyDescent="0.2">
      <c r="A217" s="4"/>
      <c r="B217" s="330" t="str">
        <f>Year1!B217</f>
        <v>Yes</v>
      </c>
      <c r="C217" s="472">
        <f>Year1!C217</f>
        <v>0</v>
      </c>
      <c r="D217" s="6"/>
      <c r="E217" s="6"/>
      <c r="F217" s="214"/>
      <c r="G217" s="6"/>
      <c r="H217" s="10"/>
    </row>
    <row r="218" spans="1:11" x14ac:dyDescent="0.2">
      <c r="A218" s="4"/>
      <c r="B218" s="330" t="str">
        <f>Year1!B218</f>
        <v>No</v>
      </c>
      <c r="C218" s="472">
        <f>Year1!C218</f>
        <v>0</v>
      </c>
      <c r="D218" s="6"/>
      <c r="E218" s="6"/>
      <c r="F218" s="214"/>
      <c r="G218" s="6"/>
      <c r="H218" s="10"/>
    </row>
    <row r="219" spans="1:11" x14ac:dyDescent="0.2">
      <c r="A219" s="4"/>
      <c r="B219" s="330" t="str">
        <f>Year1!B219</f>
        <v>No</v>
      </c>
      <c r="C219" s="472">
        <f>Year1!C219</f>
        <v>0</v>
      </c>
      <c r="D219" s="6"/>
      <c r="E219" s="6"/>
      <c r="F219" s="214"/>
      <c r="G219" s="6"/>
      <c r="H219" s="10"/>
      <c r="K219" s="12"/>
    </row>
    <row r="220" spans="1:11" ht="13.5" thickBot="1" x14ac:dyDescent="0.25">
      <c r="A220" s="4"/>
      <c r="B220" s="330" t="str">
        <f>Year1!B220</f>
        <v>No</v>
      </c>
      <c r="C220" s="481">
        <f>Year1!C220</f>
        <v>0</v>
      </c>
      <c r="D220" s="6"/>
      <c r="E220" s="6"/>
      <c r="F220" s="214"/>
      <c r="G220" s="6"/>
      <c r="H220" s="10"/>
      <c r="K220" s="12"/>
    </row>
    <row r="221" spans="1:11" x14ac:dyDescent="0.2">
      <c r="A221" s="255" t="s">
        <v>50</v>
      </c>
      <c r="B221" s="256"/>
      <c r="C221" s="256"/>
      <c r="D221" s="256"/>
      <c r="E221" s="256"/>
      <c r="F221" s="256"/>
      <c r="G221" s="256"/>
      <c r="H221" s="257">
        <f>SUM(F216:F220)</f>
        <v>0</v>
      </c>
      <c r="I221" s="12"/>
      <c r="K221" s="12"/>
    </row>
    <row r="222" spans="1:11" x14ac:dyDescent="0.2">
      <c r="A222" s="237" t="s">
        <v>48</v>
      </c>
      <c r="B222" s="258"/>
      <c r="C222" s="227"/>
      <c r="D222" s="227"/>
      <c r="E222" s="227"/>
      <c r="F222" s="227"/>
      <c r="G222" s="227"/>
      <c r="H222" s="259">
        <f>H221+H214+H191+H186+H169</f>
        <v>0</v>
      </c>
    </row>
    <row r="223" spans="1:11" x14ac:dyDescent="0.2">
      <c r="A223" s="237" t="s">
        <v>154</v>
      </c>
      <c r="B223" s="225"/>
      <c r="C223" s="260" t="s">
        <v>807</v>
      </c>
      <c r="D223" s="225"/>
      <c r="E223" s="225"/>
      <c r="F223" s="261">
        <f>H222-(H202+H191)-SUM(H158:H161)-SUM(H193:H196)-H221</f>
        <v>0</v>
      </c>
      <c r="G223" s="225"/>
      <c r="H223" s="263"/>
    </row>
    <row r="224" spans="1:11" x14ac:dyDescent="0.2">
      <c r="A224" s="264" t="s">
        <v>808</v>
      </c>
      <c r="B224" s="265"/>
      <c r="C224" s="266">
        <f>F223*E224</f>
        <v>0</v>
      </c>
      <c r="D224" s="298">
        <f>LOOKUP(B8,Grid!E40:E129,Grid!I40:I129)</f>
        <v>0.60499999999999998</v>
      </c>
      <c r="E224" s="299">
        <f>LOOKUP(B8,Grid!E40:E129,Grid!G40:G129)</f>
        <v>1</v>
      </c>
      <c r="F224" s="300">
        <f>ROUND(F223*D224*E224,0)</f>
        <v>0</v>
      </c>
      <c r="G224" s="284">
        <f>F224+F225</f>
        <v>0</v>
      </c>
      <c r="H224" s="301" t="s">
        <v>628</v>
      </c>
    </row>
    <row r="225" spans="1:9" x14ac:dyDescent="0.2">
      <c r="A225" s="264"/>
      <c r="B225" s="265"/>
      <c r="C225" s="266">
        <f>F223*E225</f>
        <v>0</v>
      </c>
      <c r="D225" s="298">
        <f>LOOKUP(B8,Grid!E40:E129,Grid!J40:J129)</f>
        <v>0.60499999999999998</v>
      </c>
      <c r="E225" s="299">
        <f>LOOKUP(B8,Grid!E40:E129,Grid!H40:H129)</f>
        <v>0</v>
      </c>
      <c r="F225" s="300">
        <f>F223*D225*E225</f>
        <v>0</v>
      </c>
      <c r="G225" s="254"/>
      <c r="H225" s="259"/>
    </row>
    <row r="226" spans="1:9" x14ac:dyDescent="0.2">
      <c r="A226" s="274" t="s">
        <v>809</v>
      </c>
      <c r="B226" s="275"/>
      <c r="C226" s="266">
        <f>H222*E226</f>
        <v>0</v>
      </c>
      <c r="D226" s="276">
        <f>LOOKUP($B$8,Grid!$E$40:$E$129,Grid!$I$40:$I$129)</f>
        <v>0.60499999999999998</v>
      </c>
      <c r="E226" s="277">
        <f>LOOKUP($B$8,Grid!$E$40:$E$129,Grid!$G$40:$G$129)</f>
        <v>1</v>
      </c>
      <c r="F226" s="278">
        <f>ROUND($H$222*$D$226*$E$226,0)</f>
        <v>0</v>
      </c>
      <c r="G226" s="279">
        <f>F226+F227</f>
        <v>0</v>
      </c>
      <c r="H226" s="280" t="s">
        <v>9</v>
      </c>
    </row>
    <row r="227" spans="1:9" x14ac:dyDescent="0.2">
      <c r="A227" s="274"/>
      <c r="B227" s="275"/>
      <c r="C227" s="266">
        <f>H222*E227</f>
        <v>0</v>
      </c>
      <c r="D227" s="276">
        <f>LOOKUP($B$8,Grid!$E$40:$E$129,Grid!$J$40:$J$129)</f>
        <v>0.60499999999999998</v>
      </c>
      <c r="E227" s="277">
        <f>LOOKUP($B$8,Grid!$E$40:$E$129,Grid!$H$40:$H$129)</f>
        <v>0</v>
      </c>
      <c r="F227" s="278">
        <f>ROUND($H$222*$D$227*$E$227,0)</f>
        <v>0</v>
      </c>
      <c r="G227" s="275"/>
      <c r="H227" s="281"/>
    </row>
    <row r="228" spans="1:9" x14ac:dyDescent="0.2">
      <c r="A228" s="237" t="s">
        <v>804</v>
      </c>
      <c r="B228" s="225"/>
      <c r="C228" s="225"/>
      <c r="D228" s="282"/>
      <c r="E228" s="283"/>
      <c r="F228" s="284"/>
      <c r="G228" s="285" t="str">
        <f>IF($C$9=Reference!$A$5,Reference!$E$5,IF($C$9=Reference!$A$6,Reference!$E$6,IF($C$9=Reference!$A$7,Reference!$E$7,"")))</f>
        <v/>
      </c>
      <c r="H228" s="259">
        <f>IF((AND($C$10="Modified Total Direct Costs",$C$9=Reference!$A$5)),$F$223*Reference!$E$5,IF((AND($C$10="Modified Total Direct Costs",$C$9=Reference!$A$6)),$F$223*Reference!$E$6,IF((AND($C$10="Modified Total Direct Costs",$C$9=Reference!$A$7)),$F$223*Reference!$E$7,IF((AND($C$10="Modified Total Direct Costs",$C$9=Reference!$A$2)),$G$224,IF((AND($C$10="Modified Total Direct Costs",$C$9=Reference!$A$3)),$G$224,IF((AND($C$10="Modified Total Direct Costs",$C$9=Reference!$A$4)),$G$224,IF((AND($C$10="Total Direct Costs",$C$9=Reference!$A$2)),$G$226,IF((AND($C$10="Total Direct Costs",$C$9=Reference!$A$3)),$G$226,IF((AND($C$10="Total Direct Costs",$C$9=Reference!$A$4)),$G$226,IF((AND($C$10="Total Direct Costs",$C$9=Reference!$A$5)),$H$222*Reference!$E$5,IF((AND($C$10="Total Direct Costs",$C$9=Reference!$A$6)),$H$222*Reference!$E$6,IF((AND($C$10="Total Direct Costs",$C$9=Reference!$A$7)),$H$222*Reference!$E$7,IF((AND($C$10="Total Costs",$C$9=Reference!$A$7)),($H$222/(1-Reference!$E$7)*Reference!$E$7))))))))))))))</f>
        <v>0</v>
      </c>
    </row>
    <row r="229" spans="1:9" x14ac:dyDescent="0.2">
      <c r="A229" s="237"/>
      <c r="B229" s="225"/>
      <c r="C229" s="225"/>
      <c r="D229" s="286"/>
      <c r="E229" s="302"/>
      <c r="F229" s="307" t="s">
        <v>515</v>
      </c>
      <c r="G229" s="308">
        <f>IF(C9=Reference!A2,Reference!E2,IF(C9=Reference!A5,Reference!E5,IF(C9=Reference!A6,Reference!E6,IF(C9=Reference!A7,Reference!E7,IF(C9=Reference!A3,Reference!E3,IF(C9=Reference!A4,Reference!E4))))))</f>
        <v>0.60499999999999998</v>
      </c>
      <c r="H229" s="259"/>
    </row>
    <row r="230" spans="1:9" ht="13.5" thickBot="1" x14ac:dyDescent="0.25">
      <c r="A230" s="288"/>
      <c r="B230" s="225"/>
      <c r="C230" s="225"/>
      <c r="D230" s="225"/>
      <c r="E230" s="225" t="s">
        <v>158</v>
      </c>
      <c r="F230" s="225"/>
      <c r="G230" s="225"/>
      <c r="H230" s="259">
        <f>H222+H228</f>
        <v>0</v>
      </c>
      <c r="I230" s="12"/>
    </row>
    <row r="231" spans="1:9" ht="13.5" thickBot="1" x14ac:dyDescent="0.25">
      <c r="A231" s="482"/>
      <c r="B231" s="252"/>
      <c r="C231" s="252"/>
      <c r="D231" s="252"/>
      <c r="E231" s="252"/>
      <c r="F231" s="252"/>
      <c r="G231" s="252"/>
      <c r="H231" s="253"/>
    </row>
  </sheetData>
  <phoneticPr fontId="4" type="noConversion"/>
  <dataValidations count="3">
    <dataValidation type="list" allowBlank="1" showInputMessage="1" showErrorMessage="1" sqref="C83 C86" xr:uid="{00000000-0002-0000-0100-000000000000}">
      <formula1>Other_Personnel</formula1>
    </dataValidation>
    <dataValidation type="list" errorStyle="information" allowBlank="1" showInputMessage="1" showErrorMessage="1" error="To override the pick list and manually enter a name not on it, just select OK to this informational message." sqref="C12:C22" xr:uid="{00000000-0002-0000-0100-000001000000}">
      <formula1>Name</formula1>
    </dataValidation>
    <dataValidation type="list" allowBlank="1" showInputMessage="1" showErrorMessage="1" sqref="B216:B220" xr:uid="{A2A3E177-1829-4B1B-9C99-CA43953E0F33}">
      <formula1>"Yes,No"</formula1>
    </dataValidation>
  </dataValidations>
  <pageMargins left="0.7" right="0.7" top="0.75" bottom="0.75" header="0.3" footer="0.3"/>
  <pageSetup scale="65" orientation="portrait" r:id="rId1"/>
  <headerFooter differentFirst="1" alignWithMargins="0"/>
  <rowBreaks count="2" manualBreakCount="2">
    <brk id="72" max="16383" man="1"/>
    <brk id="149" max="16383" man="1"/>
  </rowBreaks>
  <ignoredErrors>
    <ignoredError sqref="D228:F229 G229 C9 F224 F225 F226 F227 D224:E22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9"/>
  </sheetPr>
  <dimension ref="A1:K231"/>
  <sheetViews>
    <sheetView zoomScaleNormal="100" workbookViewId="0">
      <selection activeCell="C184" sqref="C184"/>
    </sheetView>
  </sheetViews>
  <sheetFormatPr defaultRowHeight="12.75" x14ac:dyDescent="0.2"/>
  <cols>
    <col min="1" max="1" width="10.140625" customWidth="1"/>
    <col min="2" max="2" width="12.7109375" customWidth="1"/>
    <col min="3" max="3" width="31.5703125" customWidth="1"/>
    <col min="4" max="4" width="13" customWidth="1"/>
    <col min="5" max="5" width="8.85546875" customWidth="1"/>
    <col min="6" max="6" width="15.85546875" customWidth="1"/>
    <col min="7" max="7" width="13" customWidth="1"/>
    <col min="8" max="8" width="14.28515625" customWidth="1"/>
  </cols>
  <sheetData>
    <row r="1" spans="1:8" ht="15" x14ac:dyDescent="0.2">
      <c r="C1" s="1"/>
      <c r="D1" s="1"/>
      <c r="F1" s="75" t="s">
        <v>0</v>
      </c>
    </row>
    <row r="2" spans="1:8" ht="18" x14ac:dyDescent="0.25">
      <c r="C2" s="1"/>
      <c r="D2" s="1"/>
      <c r="F2" s="76" t="s">
        <v>159</v>
      </c>
    </row>
    <row r="3" spans="1:8" ht="15" x14ac:dyDescent="0.2">
      <c r="C3" s="1"/>
      <c r="D3" s="1"/>
    </row>
    <row r="4" spans="1:8" x14ac:dyDescent="0.2">
      <c r="H4" s="320" t="str">
        <f>Year1!H4</f>
        <v>Ver.14.6 3/25</v>
      </c>
    </row>
    <row r="6" spans="1:8" x14ac:dyDescent="0.2">
      <c r="A6" s="224" t="s">
        <v>1</v>
      </c>
      <c r="B6" s="225"/>
      <c r="C6" s="230">
        <f>Year1!C6</f>
        <v>0</v>
      </c>
      <c r="D6" s="230"/>
      <c r="E6" s="230"/>
      <c r="F6" s="230"/>
      <c r="G6" s="230"/>
      <c r="H6" s="230"/>
    </row>
    <row r="7" spans="1:8" x14ac:dyDescent="0.2">
      <c r="A7" s="224" t="s">
        <v>2</v>
      </c>
      <c r="B7" s="239">
        <f>Year1!B7</f>
        <v>0</v>
      </c>
      <c r="C7" s="230"/>
      <c r="D7" s="230"/>
      <c r="E7" s="230"/>
      <c r="F7" s="230"/>
      <c r="G7" s="230"/>
      <c r="H7" s="229"/>
    </row>
    <row r="8" spans="1:8" x14ac:dyDescent="0.2">
      <c r="A8" s="224" t="s">
        <v>78</v>
      </c>
      <c r="B8" s="226">
        <f>Year2!D8+1</f>
        <v>46935</v>
      </c>
      <c r="C8" s="291" t="str">
        <f>Year1!C8</f>
        <v>through</v>
      </c>
      <c r="D8" s="226">
        <f>DATE(YEAR(B8)+1,MONTH(B8)-1+1,0)</f>
        <v>47299</v>
      </c>
      <c r="E8" s="229"/>
      <c r="F8" s="229"/>
      <c r="G8" s="229"/>
      <c r="H8" s="229"/>
    </row>
    <row r="9" spans="1:8" x14ac:dyDescent="0.2">
      <c r="A9" s="304" t="s">
        <v>3</v>
      </c>
      <c r="B9" s="305"/>
      <c r="C9" s="306" t="str">
        <f>Year1!C9</f>
        <v>On Campus Rate to 7/1//22-6/30/24 and until further notice</v>
      </c>
      <c r="D9" s="309"/>
      <c r="E9" s="229"/>
      <c r="F9" s="229"/>
      <c r="G9" s="229"/>
      <c r="H9" s="229"/>
    </row>
    <row r="10" spans="1:8" x14ac:dyDescent="0.2">
      <c r="A10" s="224" t="s">
        <v>200</v>
      </c>
      <c r="B10" s="225"/>
      <c r="C10" s="225" t="str">
        <f>Year1!C10</f>
        <v>Modified Total Direct Costs</v>
      </c>
      <c r="D10" s="225" t="str">
        <f>Year1!D10</f>
        <v>Federal</v>
      </c>
      <c r="E10" s="225"/>
      <c r="F10" s="225"/>
      <c r="G10" s="225"/>
      <c r="H10" s="225"/>
    </row>
    <row r="11" spans="1:8" ht="25.5" x14ac:dyDescent="0.2">
      <c r="A11" s="3" t="s">
        <v>5</v>
      </c>
      <c r="B11" s="14" t="s">
        <v>1190</v>
      </c>
      <c r="D11" s="426" t="s">
        <v>1186</v>
      </c>
      <c r="E11" s="71" t="s">
        <v>6</v>
      </c>
      <c r="F11" s="71" t="s">
        <v>198</v>
      </c>
      <c r="G11" s="71" t="s">
        <v>7</v>
      </c>
      <c r="H11" s="72" t="s">
        <v>8</v>
      </c>
    </row>
    <row r="12" spans="1:8" x14ac:dyDescent="0.2">
      <c r="A12" s="4" t="s">
        <v>4</v>
      </c>
      <c r="B12" s="225" t="str">
        <f>Year1!B12</f>
        <v>Academic</v>
      </c>
      <c r="C12" s="462" t="str">
        <f>Year1!C12</f>
        <v>Blank</v>
      </c>
      <c r="D12" s="463" t="str">
        <f>Year1!D12</f>
        <v>No</v>
      </c>
      <c r="E12" s="213">
        <f>Year1!E12</f>
        <v>0</v>
      </c>
      <c r="F12" s="424">
        <f>Year2!F12*1.04</f>
        <v>0</v>
      </c>
      <c r="G12" s="215">
        <f>Year1!G12</f>
        <v>1</v>
      </c>
      <c r="H12" s="11">
        <f>IF(AND($D$12="Yes",$F$12&gt;=Reference!$L$2),Reference!$L$2*$E$12*$G$12,$F$12*$E$12*$G$12)</f>
        <v>0</v>
      </c>
    </row>
    <row r="13" spans="1:8" x14ac:dyDescent="0.2">
      <c r="A13" s="5"/>
      <c r="B13" s="225" t="str">
        <f>Year1!B13</f>
        <v>Academic</v>
      </c>
      <c r="C13" s="462" t="str">
        <f>Year1!C13</f>
        <v>Blank</v>
      </c>
      <c r="D13" s="463" t="str">
        <f>Year1!D13</f>
        <v>No</v>
      </c>
      <c r="E13" s="213">
        <f>Year1!E13</f>
        <v>0</v>
      </c>
      <c r="F13" s="424">
        <f>Year2!F13*1.04</f>
        <v>0</v>
      </c>
      <c r="G13" s="215">
        <f>Year1!G13</f>
        <v>1</v>
      </c>
      <c r="H13" s="11">
        <f>IF(AND($D$13="Yes",$F$13&gt;=Reference!$L$2),Reference!$L$2*$E$13*$G$13,$F$13*$E$13*$G$13)</f>
        <v>0</v>
      </c>
    </row>
    <row r="14" spans="1:8" x14ac:dyDescent="0.2">
      <c r="A14" s="5"/>
      <c r="B14" s="225" t="str">
        <f>Year1!B14</f>
        <v>Academic</v>
      </c>
      <c r="C14" s="462" t="str">
        <f>Year1!C14</f>
        <v>Blank</v>
      </c>
      <c r="D14" s="463" t="str">
        <f>Year1!D14</f>
        <v>No</v>
      </c>
      <c r="E14" s="213">
        <f>Year1!E14</f>
        <v>0</v>
      </c>
      <c r="F14" s="424">
        <f>Year2!F14*1.04</f>
        <v>0</v>
      </c>
      <c r="G14" s="215">
        <f>Year1!G14</f>
        <v>1</v>
      </c>
      <c r="H14" s="11">
        <f>IF(AND($D$14="Yes",$F$14&gt;=Reference!$L$2),(Reference!$L$2*$E$14*$G$14),$F$14*$E$14*$G$14)</f>
        <v>0</v>
      </c>
    </row>
    <row r="15" spans="1:8" x14ac:dyDescent="0.2">
      <c r="A15" s="5"/>
      <c r="B15" s="225" t="str">
        <f>Year1!B15</f>
        <v>Academic</v>
      </c>
      <c r="C15" s="462" t="str">
        <f>Year1!C15</f>
        <v>Blank</v>
      </c>
      <c r="D15" s="463" t="str">
        <f>Year1!D15</f>
        <v>No</v>
      </c>
      <c r="E15" s="213">
        <f>Year1!E15</f>
        <v>0</v>
      </c>
      <c r="F15" s="424">
        <f>Year2!F15*1.04</f>
        <v>0</v>
      </c>
      <c r="G15" s="215">
        <f>Year1!G15</f>
        <v>1</v>
      </c>
      <c r="H15" s="11">
        <f>IF(AND($D$15="Yes",$F$15&gt;=Reference!$L$2),(Reference!$L$2*$E$15*$G$15),$F$15*$E$15*$G$15)</f>
        <v>0</v>
      </c>
    </row>
    <row r="16" spans="1:8" x14ac:dyDescent="0.2">
      <c r="A16" s="5"/>
      <c r="B16" s="225" t="str">
        <f>Year1!B16</f>
        <v>Academic</v>
      </c>
      <c r="C16" s="462" t="str">
        <f>Year1!C16</f>
        <v>Blank</v>
      </c>
      <c r="D16" s="463" t="str">
        <f>Year1!D16</f>
        <v>No</v>
      </c>
      <c r="E16" s="213">
        <f>Year1!E16</f>
        <v>0</v>
      </c>
      <c r="F16" s="424">
        <f>Year2!F16*1.04</f>
        <v>0</v>
      </c>
      <c r="G16" s="215">
        <f>Year1!G16</f>
        <v>1</v>
      </c>
      <c r="H16" s="11">
        <f>IF(AND($D$16="Yes",$F$16&gt;=Reference!$L$2),(Reference!$L$2*$E$16*$G$16),$F$16*$E$16*$G$16)</f>
        <v>0</v>
      </c>
    </row>
    <row r="17" spans="1:8" x14ac:dyDescent="0.2">
      <c r="A17" s="5"/>
      <c r="B17" s="225" t="str">
        <f>Year1!B17</f>
        <v>Academic</v>
      </c>
      <c r="C17" s="462" t="str">
        <f>Year1!C17</f>
        <v>Blank</v>
      </c>
      <c r="D17" s="463" t="str">
        <f>Year1!D17</f>
        <v>No</v>
      </c>
      <c r="E17" s="213">
        <f>Year1!E17</f>
        <v>0</v>
      </c>
      <c r="F17" s="424">
        <f>Year2!F17*1.04</f>
        <v>0</v>
      </c>
      <c r="G17" s="215">
        <f>Year1!G17</f>
        <v>1</v>
      </c>
      <c r="H17" s="11">
        <f>IF(AND($D$17="Yes",$F$17&gt;=Reference!$L$2),(Reference!$L$2*$E$17*$G$17),$F$17*$E$17*$G$17)</f>
        <v>0</v>
      </c>
    </row>
    <row r="18" spans="1:8" x14ac:dyDescent="0.2">
      <c r="A18" s="5"/>
      <c r="B18" s="225" t="str">
        <f>Year1!B18</f>
        <v>Academic</v>
      </c>
      <c r="C18" s="462" t="str">
        <f>Year1!C18</f>
        <v>Blank</v>
      </c>
      <c r="D18" s="463" t="str">
        <f>Year1!D18</f>
        <v>No</v>
      </c>
      <c r="E18" s="213">
        <f>Year1!E18</f>
        <v>0</v>
      </c>
      <c r="F18" s="424">
        <f>Year2!F18*1.04</f>
        <v>0</v>
      </c>
      <c r="G18" s="215">
        <f>Year1!G18</f>
        <v>1</v>
      </c>
      <c r="H18" s="11">
        <f>IF(AND($D$18="Yes",$F$18&gt;=Reference!$L$2),(Reference!$L$2*$E$18*$G$18),$F$18*$E$18*$G$18)</f>
        <v>0</v>
      </c>
    </row>
    <row r="19" spans="1:8" x14ac:dyDescent="0.2">
      <c r="A19" s="5"/>
      <c r="B19" s="225" t="str">
        <f>Year1!B19</f>
        <v>Calendar</v>
      </c>
      <c r="C19" s="462" t="str">
        <f>Year1!C19</f>
        <v>Blank</v>
      </c>
      <c r="D19" s="463" t="str">
        <f>Year1!D19</f>
        <v>No</v>
      </c>
      <c r="E19" s="213">
        <f>Year1!E19</f>
        <v>0</v>
      </c>
      <c r="F19" s="424">
        <f>Year2!F19*1.04</f>
        <v>0</v>
      </c>
      <c r="G19" s="215">
        <f>Year1!G19</f>
        <v>1</v>
      </c>
      <c r="H19" s="11">
        <f>IF(AND($D$19="Yes",$F$19&gt;=Reference!$L$2),(Reference!$L$2*$E$19*$G$19),$F$19*$E$19*$G$19)</f>
        <v>0</v>
      </c>
    </row>
    <row r="20" spans="1:8" x14ac:dyDescent="0.2">
      <c r="A20" s="5"/>
      <c r="B20" s="225" t="str">
        <f>Year1!B20</f>
        <v>Calendar</v>
      </c>
      <c r="C20" s="462" t="str">
        <f>Year1!C20</f>
        <v>Blank</v>
      </c>
      <c r="D20" s="463" t="str">
        <f>Year1!D20</f>
        <v>No</v>
      </c>
      <c r="E20" s="213">
        <f>Year1!E20</f>
        <v>0</v>
      </c>
      <c r="F20" s="424">
        <f>Year2!F20*1.04</f>
        <v>0</v>
      </c>
      <c r="G20" s="215">
        <f>Year1!G20</f>
        <v>1</v>
      </c>
      <c r="H20" s="11">
        <f>IF(AND($D$20="Yes",$F$20&gt;=Reference!$L$2),(Reference!$L$2*$E$20*$G$20),$F$20*$E$20*$G$20)</f>
        <v>0</v>
      </c>
    </row>
    <row r="21" spans="1:8" x14ac:dyDescent="0.2">
      <c r="A21" s="5"/>
      <c r="B21" s="225" t="str">
        <f>Year1!B21</f>
        <v>Recall</v>
      </c>
      <c r="C21" s="462" t="str">
        <f>Year1!C21</f>
        <v>Blank</v>
      </c>
      <c r="D21" s="463" t="str">
        <f>Year1!D21</f>
        <v>No</v>
      </c>
      <c r="E21" s="213">
        <f>Year1!E21</f>
        <v>0</v>
      </c>
      <c r="F21" s="424">
        <f>Year2!F21*1.04</f>
        <v>0</v>
      </c>
      <c r="G21" s="215">
        <f>Year1!G21</f>
        <v>1</v>
      </c>
      <c r="H21" s="11">
        <f>IF(AND($D$21="Yes",$F$21&gt;=Reference!$L$2),(Reference!$L$2*$E$21*$G$21),$F$21*$E$21*$G$21)</f>
        <v>0</v>
      </c>
    </row>
    <row r="22" spans="1:8" x14ac:dyDescent="0.2">
      <c r="A22" s="5"/>
      <c r="B22" s="225" t="str">
        <f>Year1!B22</f>
        <v>Recall</v>
      </c>
      <c r="C22" s="462" t="str">
        <f>Year1!C22</f>
        <v>Blank</v>
      </c>
      <c r="D22" s="463" t="str">
        <f>Year1!D22</f>
        <v>No</v>
      </c>
      <c r="E22" s="213">
        <f>Year1!E22</f>
        <v>0</v>
      </c>
      <c r="F22" s="424">
        <f>Year2!F22*1.04</f>
        <v>0</v>
      </c>
      <c r="G22" s="215">
        <f>Year1!G22</f>
        <v>1</v>
      </c>
      <c r="H22" s="11">
        <f>IF(AND($D$22="Yes",$F$22&gt;=Reference!$L$2),(Reference!$L$2*$E$22*$G$22),$F$22*$E$22*$G$22)</f>
        <v>0</v>
      </c>
    </row>
    <row r="23" spans="1:8" x14ac:dyDescent="0.2">
      <c r="A23" s="5"/>
      <c r="C23" s="6"/>
      <c r="D23" s="6"/>
      <c r="E23" s="6"/>
      <c r="F23" s="6"/>
      <c r="G23" s="6" t="s">
        <v>9</v>
      </c>
      <c r="H23" s="21">
        <f>IF(Year1!H8=1,0,IF(Year1!H8=2,0,SUM(H12:H22)))</f>
        <v>0</v>
      </c>
    </row>
    <row r="24" spans="1:8" x14ac:dyDescent="0.2">
      <c r="A24" s="4" t="s">
        <v>10</v>
      </c>
      <c r="H24" s="9"/>
    </row>
    <row r="25" spans="1:8" x14ac:dyDescent="0.2">
      <c r="A25" s="5"/>
      <c r="B25" s="13" t="s">
        <v>11</v>
      </c>
      <c r="C25" s="216">
        <f>Year1!C25</f>
        <v>0</v>
      </c>
      <c r="D25" s="216"/>
      <c r="E25" s="6"/>
      <c r="F25" s="6"/>
      <c r="G25" s="6"/>
      <c r="H25" s="11"/>
    </row>
    <row r="26" spans="1:8" x14ac:dyDescent="0.2">
      <c r="A26" s="5"/>
      <c r="B26" s="6"/>
      <c r="C26" s="451" t="str">
        <f>IF(Year2!C26="GSR Step I","GSR Step II",IF(Year2!C26="GSR Step II","GSR Step III",IF(Year2!C26="GSR Step III","GSR Step III",IF(Year2!C26="GSR Step IV","GSR Step IV",IF(Year2!C26="GSR Step V","GSR Step V",IF(Year2!C26="GSR Step VI","GSR Step VI",0))))))</f>
        <v>GSR Step III</v>
      </c>
      <c r="D26" s="454"/>
      <c r="E26" s="6"/>
      <c r="F26" s="6"/>
      <c r="G26" s="6"/>
      <c r="H26" s="11"/>
    </row>
    <row r="27" spans="1:8" x14ac:dyDescent="0.2">
      <c r="A27" s="5"/>
      <c r="B27" s="85" t="str">
        <f>IF(OR(Year3!C27="August",Year3!C27="June",Year3!C27="July - August",Year3!C27="June - August",Year3!C27="June - July"),"Summer","Academic")</f>
        <v>Summer</v>
      </c>
      <c r="C27" s="229" t="str">
        <f>Year1!C27</f>
        <v>July - August</v>
      </c>
      <c r="D27" s="229" t="str">
        <f t="array" ref="D27">INDEX(Academic_Year,MATCH($B$8&amp;$C$27,DATE_COLUMN&amp;Calendar_Months,0))</f>
        <v>2027-2028</v>
      </c>
      <c r="E27" s="60">
        <f>INDEX(Number_Months,MATCH(C27,Time_Periods,0))</f>
        <v>2</v>
      </c>
      <c r="F27" s="424">
        <f t="array" ref="F27">INDEX(Salary,MATCH(C26&amp;D27,Range1&amp;Range2,0))</f>
        <v>8056</v>
      </c>
      <c r="G27" s="208">
        <f>Year1!G27</f>
        <v>0.5</v>
      </c>
      <c r="H27" s="11">
        <f>C25*E27*F27*G27</f>
        <v>0</v>
      </c>
    </row>
    <row r="28" spans="1:8" x14ac:dyDescent="0.2">
      <c r="A28" s="5"/>
      <c r="B28" s="85" t="str">
        <f>IF(OR(Year3!C28="August",Year3!C28="June",Year3!C28="July - August",Year3!C28="June - August",Year3!C28="June - July"),"Summer","Academic")</f>
        <v>Academic</v>
      </c>
      <c r="C28" s="229" t="str">
        <f>Year1!C28</f>
        <v>September</v>
      </c>
      <c r="D28" s="229" t="str">
        <f t="array" ref="D28">INDEX(Academic_Year,MATCH($B$8&amp;$C$28,DATE_COLUMN&amp;Calendar_Months,0))</f>
        <v>2027-2028</v>
      </c>
      <c r="E28" s="60">
        <f>INDEX(Number_Months,MATCH(C28,Time_Periods,0))</f>
        <v>1</v>
      </c>
      <c r="F28" s="424">
        <f t="array" ref="F28">INDEX(Salary,MATCH(C26&amp;D28,Range1&amp;Range2,0))</f>
        <v>8056</v>
      </c>
      <c r="G28" s="208">
        <f>Year1!G28</f>
        <v>0.5</v>
      </c>
      <c r="H28" s="11">
        <f>C25*E28*F28*G28</f>
        <v>0</v>
      </c>
    </row>
    <row r="29" spans="1:8" x14ac:dyDescent="0.2">
      <c r="A29" s="5"/>
      <c r="B29" s="85" t="str">
        <f>IF(OR(Year3!C29="August",Year3!C29="June",Year3!C29="July - August",Year3!C29="June - August",Year3!C29="June - July"),"Summer","Academic")</f>
        <v>Academic</v>
      </c>
      <c r="C29" s="229" t="str">
        <f>Year1!C29</f>
        <v>October - December</v>
      </c>
      <c r="D29" s="229" t="str">
        <f t="array" ref="D29">INDEX(Academic_Year,MATCH($B$8&amp;$C$29,DATE_COLUMN&amp;Calendar_Months,0))</f>
        <v>2028-2029</v>
      </c>
      <c r="E29" s="60">
        <f>INDEX(Number_Months,MATCH(C29,Time_Periods,0))</f>
        <v>3</v>
      </c>
      <c r="F29" s="424">
        <f t="array" ref="F29">INDEX(Salary,MATCH(C26&amp;D29,Range1&amp;Range2,0))</f>
        <v>8572</v>
      </c>
      <c r="G29" s="208">
        <f>Year1!G29</f>
        <v>0.5</v>
      </c>
      <c r="H29" s="11">
        <f>C25*E29*F29*G29</f>
        <v>0</v>
      </c>
    </row>
    <row r="30" spans="1:8" x14ac:dyDescent="0.2">
      <c r="A30" s="5"/>
      <c r="B30" s="85" t="str">
        <f>IF(OR(Year3!C30="August",Year3!C30="June",Year3!C30="July - August",Year3!C30="June - August",Year3!C30="June - July"),"Summer","Academic")</f>
        <v>Academic</v>
      </c>
      <c r="C30" s="229" t="str">
        <f>Year1!C30</f>
        <v>January - May</v>
      </c>
      <c r="D30" s="229" t="str">
        <f t="array" ref="D30">INDEX(Academic_Year,MATCH($B$8&amp;$C$30,DATE_COLUMN&amp;Calendar_Months,0))</f>
        <v>2028-2029</v>
      </c>
      <c r="E30" s="60">
        <f>INDEX(Number_Months,MATCH(C30,Time_Periods,0))</f>
        <v>5</v>
      </c>
      <c r="F30" s="424">
        <f t="array" ref="F30">INDEX(Salary,MATCH(C26&amp;D30,Range1&amp;Range2,0))</f>
        <v>8572</v>
      </c>
      <c r="G30" s="208">
        <f>Year1!G30</f>
        <v>0.5</v>
      </c>
      <c r="H30" s="11">
        <f>C25*E30*F30*G30</f>
        <v>0</v>
      </c>
    </row>
    <row r="31" spans="1:8" x14ac:dyDescent="0.2">
      <c r="A31" s="5"/>
      <c r="B31" s="85" t="str">
        <f>IF(OR(Year3!C31="August",Year3!C31="June",Year3!C31="July - August",Year3!C31="June - August",Year3!C31="June - July"),"Summer","Academic")</f>
        <v>Summer</v>
      </c>
      <c r="C31" s="229" t="str">
        <f>Year1!C31</f>
        <v>June</v>
      </c>
      <c r="D31" s="229" t="str">
        <f t="array" ref="D31">INDEX(Academic_Year,MATCH($B$8&amp;$C$31,DATE_COLUMN&amp;Calendar_Months,0))</f>
        <v>2028-2029</v>
      </c>
      <c r="E31" s="60">
        <f>INDEX(Number_Months,MATCH(C31,Time_Periods,0))</f>
        <v>1</v>
      </c>
      <c r="F31" s="424">
        <f t="array" ref="F31">INDEX(Salary,MATCH(C26&amp;D31,Range1&amp;Range2,0))</f>
        <v>8572</v>
      </c>
      <c r="G31" s="208">
        <f>Year1!G31</f>
        <v>0.5</v>
      </c>
      <c r="H31" s="11">
        <f>C25*E31*F31*G31</f>
        <v>0</v>
      </c>
    </row>
    <row r="32" spans="1:8" x14ac:dyDescent="0.2">
      <c r="A32" s="5"/>
      <c r="B32" s="6"/>
      <c r="C32" s="6"/>
      <c r="D32" s="6"/>
      <c r="E32" s="60">
        <f>SUM(E27:E31)</f>
        <v>12</v>
      </c>
      <c r="F32" s="22"/>
      <c r="G32" s="59" t="s">
        <v>9</v>
      </c>
      <c r="H32" s="58">
        <f>SUM(H27:H31)</f>
        <v>0</v>
      </c>
    </row>
    <row r="33" spans="1:8" x14ac:dyDescent="0.2">
      <c r="A33" s="5"/>
      <c r="B33" s="13" t="s">
        <v>11</v>
      </c>
      <c r="C33" s="216">
        <f>Year1!C33</f>
        <v>0</v>
      </c>
      <c r="D33" s="216"/>
      <c r="E33" s="6"/>
      <c r="F33" s="6"/>
      <c r="G33" s="6"/>
      <c r="H33" s="11"/>
    </row>
    <row r="34" spans="1:8" x14ac:dyDescent="0.2">
      <c r="A34" s="5"/>
      <c r="B34" s="6"/>
      <c r="C34" s="451" t="str">
        <f>IF(Year2!C34="GSR Step I","GSR Step II",IF(Year2!C34="GSR Step II","GSR Step III",IF(Year2!C34="GSR Step III","GSR Step III",IF(Year2!C34="GSR Step IV","GSR Step IV",IF(Year2!C34="GSR Step V","GSR Step V",IF(Year2!C34="GSR Step VI","GSR Step VI",0))))))</f>
        <v>GSR Step VI</v>
      </c>
      <c r="D34" s="454"/>
      <c r="E34" s="6"/>
      <c r="F34" s="6"/>
      <c r="G34" s="6"/>
      <c r="H34" s="11"/>
    </row>
    <row r="35" spans="1:8" x14ac:dyDescent="0.2">
      <c r="A35" s="5"/>
      <c r="B35" s="85" t="str">
        <f>IF(OR(Year3!C35="August",Year3!C35="June",Year3!C35="July - August",Year3!C35="June - August",Year3!C35="June - July"),"Summer","Academic")</f>
        <v>Summer</v>
      </c>
      <c r="C35" s="229" t="str">
        <f>Year1!C35</f>
        <v>July - August</v>
      </c>
      <c r="D35" s="229" t="str">
        <f t="array" ref="D35">INDEX(Academic_Year,MATCH($B$8&amp;$C$35,DATE_COLUMN&amp;Calendar_Months,0))</f>
        <v>2027-2028</v>
      </c>
      <c r="E35" s="60">
        <f>INDEX(Number_Months,MATCH(C35,Time_Periods,0))</f>
        <v>2</v>
      </c>
      <c r="F35" s="424">
        <f t="array" ref="F35">INDEX(Salary,MATCH(C34&amp;D35,Range1&amp;Range2,0))</f>
        <v>10079</v>
      </c>
      <c r="G35" s="208">
        <f>Year1!G35</f>
        <v>0.5</v>
      </c>
      <c r="H35" s="11">
        <f>C33*E35*F35*G35</f>
        <v>0</v>
      </c>
    </row>
    <row r="36" spans="1:8" x14ac:dyDescent="0.2">
      <c r="A36" s="5"/>
      <c r="B36" s="85" t="str">
        <f>IF(OR(Year3!C36="August",Year3!C36="June",Year3!C36="July - August",Year3!C36="June - August",Year3!C36="June - July"),"Summer","Academic")</f>
        <v>Academic</v>
      </c>
      <c r="C36" s="229" t="str">
        <f>Year1!C36</f>
        <v>September</v>
      </c>
      <c r="D36" s="229" t="str">
        <f t="array" ref="D36">INDEX(Academic_Year,MATCH($B$8&amp;$C$36,DATE_COLUMN&amp;Calendar_Months,0))</f>
        <v>2027-2028</v>
      </c>
      <c r="E36" s="60">
        <f>INDEX(Number_Months,MATCH(C36,Time_Periods,0))</f>
        <v>1</v>
      </c>
      <c r="F36" s="424">
        <f t="array" ref="F36">INDEX(Salary,MATCH(C34&amp;D36,Range1&amp;Range2,0))</f>
        <v>10079</v>
      </c>
      <c r="G36" s="208">
        <f>Year1!G36</f>
        <v>0.5</v>
      </c>
      <c r="H36" s="11">
        <f>C33*E36*F36*G36</f>
        <v>0</v>
      </c>
    </row>
    <row r="37" spans="1:8" x14ac:dyDescent="0.2">
      <c r="A37" s="5"/>
      <c r="B37" s="85" t="str">
        <f>IF(OR(Year3!C37="August",Year3!C37="June",Year3!C37="July - August",Year3!C37="June - August",Year3!C37="June - July"),"Summer","Academic")</f>
        <v>Academic</v>
      </c>
      <c r="C37" s="229" t="str">
        <f>Year1!C37</f>
        <v>October - December</v>
      </c>
      <c r="D37" s="229" t="str">
        <f t="array" ref="D37">INDEX(Academic_Year,MATCH($B$8&amp;$C$37,DATE_COLUMN&amp;Calendar_Months,0))</f>
        <v>2028-2029</v>
      </c>
      <c r="E37" s="60">
        <f>INDEX(Number_Months,MATCH(C37,Time_Periods,0))</f>
        <v>3</v>
      </c>
      <c r="F37" s="424">
        <f t="array" ref="F37">INDEX(Salary,MATCH(C34&amp;D37,Range1&amp;Range2,0))</f>
        <v>10724</v>
      </c>
      <c r="G37" s="208">
        <f>Year1!G37</f>
        <v>0.5</v>
      </c>
      <c r="H37" s="11">
        <f>C33*E37*F37*G37</f>
        <v>0</v>
      </c>
    </row>
    <row r="38" spans="1:8" x14ac:dyDescent="0.2">
      <c r="A38" s="5"/>
      <c r="B38" s="85" t="str">
        <f>IF(OR(Year3!C38="August",Year3!C38="June",Year3!C38="July - August",Year3!C38="June - August",Year3!C38="June - July"),"Summer","Academic")</f>
        <v>Academic</v>
      </c>
      <c r="C38" s="229" t="str">
        <f>Year1!C38</f>
        <v>January - May</v>
      </c>
      <c r="D38" s="229" t="str">
        <f t="array" ref="D38">INDEX(Academic_Year,MATCH($B$8&amp;$C$38,DATE_COLUMN&amp;Calendar_Months,0))</f>
        <v>2028-2029</v>
      </c>
      <c r="E38" s="60">
        <f>INDEX(Number_Months,MATCH(C38,Time_Periods,0))</f>
        <v>5</v>
      </c>
      <c r="F38" s="424">
        <f t="array" ref="F38">INDEX(Salary,MATCH(C34&amp;D38,Range1&amp;Range2,0))</f>
        <v>10724</v>
      </c>
      <c r="G38" s="208">
        <f>Year1!G38</f>
        <v>0.5</v>
      </c>
      <c r="H38" s="11">
        <f>C33*E38*F38*G38</f>
        <v>0</v>
      </c>
    </row>
    <row r="39" spans="1:8" x14ac:dyDescent="0.2">
      <c r="A39" s="5"/>
      <c r="B39" s="85" t="str">
        <f>IF(OR(Year3!C39="August",Year3!C39="June",Year3!C39="July - August",Year3!C39="June - August",Year3!C39="June - July"),"Summer","Academic")</f>
        <v>Summer</v>
      </c>
      <c r="C39" s="229" t="str">
        <f>Year1!C39</f>
        <v>June</v>
      </c>
      <c r="D39" s="229" t="str">
        <f t="array" ref="D39">INDEX(Academic_Year,MATCH($B$8&amp;$C$39,DATE_COLUMN&amp;Calendar_Months,0))</f>
        <v>2028-2029</v>
      </c>
      <c r="E39" s="60">
        <f>INDEX(Number_Months,MATCH(C39,Time_Periods,0))</f>
        <v>1</v>
      </c>
      <c r="F39" s="424">
        <f t="array" ref="F39">INDEX(Salary,MATCH(C34&amp;D39,Range1&amp;Range2,0))</f>
        <v>10724</v>
      </c>
      <c r="G39" s="208">
        <f>Year1!G39</f>
        <v>0.5</v>
      </c>
      <c r="H39" s="11">
        <f>C33*E39*F39*G39</f>
        <v>0</v>
      </c>
    </row>
    <row r="40" spans="1:8" x14ac:dyDescent="0.2">
      <c r="A40" s="5"/>
      <c r="B40" s="6"/>
      <c r="C40" s="6"/>
      <c r="D40" s="6"/>
      <c r="E40" s="60">
        <f>SUM(E35:E39)</f>
        <v>12</v>
      </c>
      <c r="F40" s="22"/>
      <c r="G40" s="22" t="s">
        <v>9</v>
      </c>
      <c r="H40" s="58">
        <f>SUM(H35:H39)</f>
        <v>0</v>
      </c>
    </row>
    <row r="41" spans="1:8" x14ac:dyDescent="0.2">
      <c r="A41" s="5"/>
      <c r="B41" s="13" t="s">
        <v>11</v>
      </c>
      <c r="C41" s="216">
        <f>Year1!C41</f>
        <v>0</v>
      </c>
      <c r="D41" s="216"/>
      <c r="E41" s="6"/>
      <c r="F41" s="6"/>
      <c r="G41" s="6"/>
      <c r="H41" s="11"/>
    </row>
    <row r="42" spans="1:8" x14ac:dyDescent="0.2">
      <c r="A42" s="5"/>
      <c r="B42" s="6"/>
      <c r="C42" s="451" t="str">
        <f>IF(Year2!C42="GSR Step I","GSR Step II",IF(Year2!C42="GSR Step II","GSR Step III",IF(Year2!C42="GSR Step III","GSR Step III",IF(Year2!C42="GSR Step IV","GSR Step IV",IF(Year2!C42="GSR Step V","GSR Step V",IF(Year2!C42="GSR Step VI","GSR Step VI",0))))))</f>
        <v>GSR Step III</v>
      </c>
      <c r="D42" s="454"/>
      <c r="E42" s="6"/>
      <c r="F42" s="6"/>
      <c r="G42" s="6"/>
      <c r="H42" s="11"/>
    </row>
    <row r="43" spans="1:8" x14ac:dyDescent="0.2">
      <c r="A43" s="5"/>
      <c r="B43" s="85" t="str">
        <f>IF(OR(Year3!C43="August",Year3!C43="June",Year3!C43="July - August",Year3!C43="June - August",Year3!C43="June - July"),"Summer","Academic")</f>
        <v>Summer</v>
      </c>
      <c r="C43" s="229" t="str">
        <f>Year1!C43</f>
        <v>July - August</v>
      </c>
      <c r="D43" s="229" t="str">
        <f t="array" ref="D43">INDEX(Academic_Year,MATCH($B$8&amp;$C$35,DATE_COLUMN&amp;Calendar_Months,0))</f>
        <v>2027-2028</v>
      </c>
      <c r="E43" s="60">
        <f>INDEX(Number_Months,MATCH(C43,Time_Periods,0))</f>
        <v>2</v>
      </c>
      <c r="F43" s="424">
        <f t="array" ref="F43">INDEX(Salary,MATCH(C42&amp;D43,Range1&amp;Range2,0))</f>
        <v>8056</v>
      </c>
      <c r="G43" s="208">
        <f>Year1!G43</f>
        <v>0.5</v>
      </c>
      <c r="H43" s="11">
        <f>C41*E43*F43*G43</f>
        <v>0</v>
      </c>
    </row>
    <row r="44" spans="1:8" x14ac:dyDescent="0.2">
      <c r="A44" s="5"/>
      <c r="B44" s="85" t="str">
        <f>IF(OR(Year3!C44="August",Year3!C44="June",Year3!C44="July - August",Year3!C44="June - August",Year3!C44="June - July"),"Summer","Academic")</f>
        <v>Academic</v>
      </c>
      <c r="C44" s="229" t="str">
        <f>Year1!C44</f>
        <v>September</v>
      </c>
      <c r="D44" s="229" t="str">
        <f t="array" ref="D44">INDEX(Academic_Year,MATCH($B$8&amp;$C$36,DATE_COLUMN&amp;Calendar_Months,0))</f>
        <v>2027-2028</v>
      </c>
      <c r="E44" s="60">
        <f>INDEX(Number_Months,MATCH(C44,Time_Periods,0))</f>
        <v>1</v>
      </c>
      <c r="F44" s="424">
        <f t="array" ref="F44">INDEX(Salary,MATCH(C42&amp;D44,Range1&amp;Range2,0))</f>
        <v>8056</v>
      </c>
      <c r="G44" s="208">
        <f>Year1!G44</f>
        <v>0.5</v>
      </c>
      <c r="H44" s="11">
        <f>C41*E44*F44*G44</f>
        <v>0</v>
      </c>
    </row>
    <row r="45" spans="1:8" x14ac:dyDescent="0.2">
      <c r="A45" s="5"/>
      <c r="B45" s="85" t="str">
        <f>IF(OR(Year3!C45="August",Year3!C45="June",Year3!C45="July - August",Year3!C45="June - August",Year3!C45="June - July"),"Summer","Academic")</f>
        <v>Academic</v>
      </c>
      <c r="C45" s="229" t="str">
        <f>Year1!C45</f>
        <v>October - December</v>
      </c>
      <c r="D45" s="229" t="str">
        <f t="array" ref="D45">INDEX(Academic_Year,MATCH($B$8&amp;$C$37,DATE_COLUMN&amp;Calendar_Months,0))</f>
        <v>2028-2029</v>
      </c>
      <c r="E45" s="60">
        <f>INDEX(Number_Months,MATCH(C45,Time_Periods,0))</f>
        <v>3</v>
      </c>
      <c r="F45" s="424">
        <f t="array" ref="F45">INDEX(Salary,MATCH(C42&amp;D45,Range1&amp;Range2,0))</f>
        <v>8572</v>
      </c>
      <c r="G45" s="208">
        <f>Year1!G45</f>
        <v>0.5</v>
      </c>
      <c r="H45" s="11">
        <f>C41*E45*F45*G45</f>
        <v>0</v>
      </c>
    </row>
    <row r="46" spans="1:8" x14ac:dyDescent="0.2">
      <c r="A46" s="5"/>
      <c r="B46" s="85" t="str">
        <f>IF(OR(Year3!C46="August",Year3!C46="June",Year3!C46="July - August",Year3!C46="June - August",Year3!C46="June - July"),"Summer","Academic")</f>
        <v>Academic</v>
      </c>
      <c r="C46" s="229" t="str">
        <f>Year1!C46</f>
        <v>January - May</v>
      </c>
      <c r="D46" s="229" t="str">
        <f t="array" ref="D46">INDEX(Academic_Year,MATCH($B$8&amp;$C$38,DATE_COLUMN&amp;Calendar_Months,0))</f>
        <v>2028-2029</v>
      </c>
      <c r="E46" s="60">
        <f>INDEX(Number_Months,MATCH(C46,Time_Periods,0))</f>
        <v>5</v>
      </c>
      <c r="F46" s="424">
        <f t="array" ref="F46">INDEX(Salary,MATCH(C42&amp;D46,Range1&amp;Range2,0))</f>
        <v>8572</v>
      </c>
      <c r="G46" s="208">
        <f>Year1!G46</f>
        <v>0.5</v>
      </c>
      <c r="H46" s="11">
        <f>C41*E46*F46*G46</f>
        <v>0</v>
      </c>
    </row>
    <row r="47" spans="1:8" x14ac:dyDescent="0.2">
      <c r="A47" s="5"/>
      <c r="B47" s="85" t="str">
        <f>IF(OR(Year3!C47="August",Year3!C47="June",Year3!C47="July - August",Year3!C47="June - August",Year3!C47="June - July"),"Summer","Academic")</f>
        <v>Summer</v>
      </c>
      <c r="C47" s="229" t="str">
        <f>Year1!C47</f>
        <v>June</v>
      </c>
      <c r="D47" s="229" t="str">
        <f t="array" ref="D47">INDEX(Academic_Year,MATCH($B$8&amp;$C$39,DATE_COLUMN&amp;Calendar_Months,0))</f>
        <v>2028-2029</v>
      </c>
      <c r="E47" s="60">
        <f>INDEX(Number_Months,MATCH(C47,Time_Periods,0))</f>
        <v>1</v>
      </c>
      <c r="F47" s="424">
        <f t="array" ref="F47">INDEX(Salary,MATCH(C42&amp;D47,Range1&amp;Range2,0))</f>
        <v>8572</v>
      </c>
      <c r="G47" s="208">
        <f>Year1!G47</f>
        <v>0.5</v>
      </c>
      <c r="H47" s="11">
        <f>C41*E47*F47*G47</f>
        <v>0</v>
      </c>
    </row>
    <row r="48" spans="1:8" x14ac:dyDescent="0.2">
      <c r="A48" s="5"/>
      <c r="B48" s="6"/>
      <c r="C48" s="6"/>
      <c r="D48" s="6"/>
      <c r="E48" s="60">
        <f>SUM(E43:E47)</f>
        <v>12</v>
      </c>
      <c r="F48" s="22"/>
      <c r="G48" s="22" t="s">
        <v>9</v>
      </c>
      <c r="H48" s="58">
        <f>SUM(H43:H47)</f>
        <v>0</v>
      </c>
    </row>
    <row r="49" spans="1:8" x14ac:dyDescent="0.2">
      <c r="A49" s="5"/>
      <c r="B49" s="13" t="s">
        <v>11</v>
      </c>
      <c r="C49" s="216">
        <f>Year1!C49</f>
        <v>0</v>
      </c>
      <c r="D49" s="216"/>
      <c r="E49" s="6"/>
      <c r="F49" s="6"/>
      <c r="G49" s="6"/>
      <c r="H49" s="11"/>
    </row>
    <row r="50" spans="1:8" x14ac:dyDescent="0.2">
      <c r="A50" s="5"/>
      <c r="B50" s="6"/>
      <c r="C50" s="451" t="str">
        <f>IF(Year2!C50="GSR Step I","GSR Step II",IF(Year2!C50="GSR Step II","GSR Step III",IF(Year2!C50="GSR Step III","GSR Step III",IF(Year2!C50="GSR Step IV","GSR Step IV",IF(Year2!C50="GSR Step V","GSR Step V",IF(Year2!C50="GSR Step VI","GSR Step VI",0))))))</f>
        <v>GSR Step III</v>
      </c>
      <c r="D50" s="454"/>
      <c r="E50" s="6"/>
      <c r="F50" s="6"/>
      <c r="G50" s="6"/>
      <c r="H50" s="11"/>
    </row>
    <row r="51" spans="1:8" x14ac:dyDescent="0.2">
      <c r="A51" s="5"/>
      <c r="B51" s="85" t="str">
        <f>IF(OR(Year3!C51="August",Year3!C51="June",Year3!C51="July - August",Year3!C51="June - August",Year3!C51="June - July"),"Summer","Academic")</f>
        <v>Summer</v>
      </c>
      <c r="C51" s="229" t="str">
        <f>Year1!C51</f>
        <v>July - August</v>
      </c>
      <c r="D51" s="229" t="str">
        <f t="array" ref="D51">INDEX(Academic_Year,MATCH($B$8&amp;$C$35,DATE_COLUMN&amp;Calendar_Months,0))</f>
        <v>2027-2028</v>
      </c>
      <c r="E51" s="60">
        <f>INDEX(Number_Months,MATCH(C51,Time_Periods,0))</f>
        <v>2</v>
      </c>
      <c r="F51" s="424">
        <f t="array" ref="F51">INDEX(Salary,MATCH(C50&amp;D51,Range1&amp;Range2,0))</f>
        <v>8056</v>
      </c>
      <c r="G51" s="208">
        <f>Year1!G51</f>
        <v>0.5</v>
      </c>
      <c r="H51" s="11">
        <f>C49*E51*F51*G51</f>
        <v>0</v>
      </c>
    </row>
    <row r="52" spans="1:8" x14ac:dyDescent="0.2">
      <c r="A52" s="5"/>
      <c r="B52" s="85" t="str">
        <f>IF(OR(Year3!C52="August",Year3!C52="June",Year3!C52="July - August",Year3!C52="June - August",Year3!C52="June - July"),"Summer","Academic")</f>
        <v>Academic</v>
      </c>
      <c r="C52" s="229" t="str">
        <f>Year1!C52</f>
        <v>September</v>
      </c>
      <c r="D52" s="229" t="str">
        <f t="array" ref="D52">INDEX(Academic_Year,MATCH($B$8&amp;$C$36,DATE_COLUMN&amp;Calendar_Months,0))</f>
        <v>2027-2028</v>
      </c>
      <c r="E52" s="60">
        <f>INDEX(Number_Months,MATCH(C52,Time_Periods,0))</f>
        <v>1</v>
      </c>
      <c r="F52" s="424">
        <f t="array" ref="F52">INDEX(Salary,MATCH(C50&amp;D52,Range1&amp;Range2,0))</f>
        <v>8056</v>
      </c>
      <c r="G52" s="208">
        <f>Year1!G52</f>
        <v>0.5</v>
      </c>
      <c r="H52" s="11">
        <f>C49*E52*F52*G52</f>
        <v>0</v>
      </c>
    </row>
    <row r="53" spans="1:8" x14ac:dyDescent="0.2">
      <c r="A53" s="5"/>
      <c r="B53" s="85" t="str">
        <f>IF(OR(Year3!C53="August",Year3!C53="June",Year3!C53="July - August",Year3!C53="June - August",Year3!C53="June - July"),"Summer","Academic")</f>
        <v>Academic</v>
      </c>
      <c r="C53" s="229" t="str">
        <f>Year1!C53</f>
        <v>October - December</v>
      </c>
      <c r="D53" s="229" t="str">
        <f t="array" ref="D53">INDEX(Academic_Year,MATCH($B$8&amp;$C$37,DATE_COLUMN&amp;Calendar_Months,0))</f>
        <v>2028-2029</v>
      </c>
      <c r="E53" s="60">
        <f>INDEX(Number_Months,MATCH(C53,Time_Periods,0))</f>
        <v>3</v>
      </c>
      <c r="F53" s="424">
        <f t="array" ref="F53">INDEX(Salary,MATCH(C50&amp;D53,Range1&amp;Range2,0))</f>
        <v>8572</v>
      </c>
      <c r="G53" s="208">
        <f>Year1!G53</f>
        <v>0.5</v>
      </c>
      <c r="H53" s="11">
        <f>C49*E53*F53*G53</f>
        <v>0</v>
      </c>
    </row>
    <row r="54" spans="1:8" x14ac:dyDescent="0.2">
      <c r="A54" s="5"/>
      <c r="B54" s="85" t="str">
        <f>IF(OR(Year3!C54="August",Year3!C54="June",Year3!C54="July - August",Year3!C54="June - August",Year3!C54="June - July"),"Summer","Academic")</f>
        <v>Academic</v>
      </c>
      <c r="C54" s="229" t="str">
        <f>Year1!C54</f>
        <v>January - May</v>
      </c>
      <c r="D54" s="229" t="str">
        <f t="array" ref="D54">INDEX(Academic_Year,MATCH($B$8&amp;$C$38,DATE_COLUMN&amp;Calendar_Months,0))</f>
        <v>2028-2029</v>
      </c>
      <c r="E54" s="60">
        <f>INDEX(Number_Months,MATCH(C54,Time_Periods,0))</f>
        <v>5</v>
      </c>
      <c r="F54" s="424">
        <f t="array" ref="F54">INDEX(Salary,MATCH(C50&amp;D54,Range1&amp;Range2,0))</f>
        <v>8572</v>
      </c>
      <c r="G54" s="208">
        <f>Year1!G54</f>
        <v>0.5</v>
      </c>
      <c r="H54" s="11">
        <f>C49*E54*F54*G54</f>
        <v>0</v>
      </c>
    </row>
    <row r="55" spans="1:8" x14ac:dyDescent="0.2">
      <c r="A55" s="5"/>
      <c r="B55" s="85" t="str">
        <f>IF(OR(Year3!C55="August",Year3!C55="June",Year3!C55="July - August",Year3!C55="June - August",Year3!C55="June - July"),"Summer","Academic")</f>
        <v>Summer</v>
      </c>
      <c r="C55" s="229" t="str">
        <f>Year1!C55</f>
        <v>June</v>
      </c>
      <c r="D55" s="229" t="str">
        <f t="array" ref="D55">INDEX(Academic_Year,MATCH($B$8&amp;$C$39,DATE_COLUMN&amp;Calendar_Months,0))</f>
        <v>2028-2029</v>
      </c>
      <c r="E55" s="60">
        <f>INDEX(Number_Months,MATCH(C55,Time_Periods,0))</f>
        <v>1</v>
      </c>
      <c r="F55" s="424">
        <f t="array" ref="F55">INDEX(Salary,MATCH(C50&amp;D55,Range1&amp;Range2,0))</f>
        <v>8572</v>
      </c>
      <c r="G55" s="208">
        <f>Year1!G55</f>
        <v>0.5</v>
      </c>
      <c r="H55" s="11">
        <f>C49*E55*F55*G55</f>
        <v>0</v>
      </c>
    </row>
    <row r="56" spans="1:8" x14ac:dyDescent="0.2">
      <c r="A56" s="5"/>
      <c r="B56" s="6"/>
      <c r="C56" s="6"/>
      <c r="D56" s="6"/>
      <c r="E56" s="60">
        <f>SUM(E51:E55)</f>
        <v>12</v>
      </c>
      <c r="F56" s="22"/>
      <c r="G56" s="22" t="s">
        <v>9</v>
      </c>
      <c r="H56" s="58">
        <f>SUM(H51:H55)</f>
        <v>0</v>
      </c>
    </row>
    <row r="57" spans="1:8" x14ac:dyDescent="0.2">
      <c r="A57" s="5"/>
      <c r="B57" s="13" t="s">
        <v>11</v>
      </c>
      <c r="C57" s="216">
        <f>Year1!C57</f>
        <v>0</v>
      </c>
      <c r="D57" s="216"/>
      <c r="E57" s="6"/>
      <c r="F57" s="6"/>
      <c r="G57" s="6"/>
      <c r="H57" s="11"/>
    </row>
    <row r="58" spans="1:8" x14ac:dyDescent="0.2">
      <c r="A58" s="5"/>
      <c r="B58" s="6"/>
      <c r="C58" s="451" t="str">
        <f>IF(Year2!C58="GSR Step I","GSR Step II",IF(Year2!C58="GSR Step II","GSR Step III",IF(Year2!C58="GSR Step III","GSR Step III",IF(Year2!C58="GSR Step IV","GSR Step IV",IF(Year2!C58="GSR Step V","GSR Step V",IF(Year2!C58="GSR Step VI","GSR Step VI",0))))))</f>
        <v>GSR Step III</v>
      </c>
      <c r="D58" s="454"/>
      <c r="E58" s="6"/>
      <c r="F58" s="6"/>
      <c r="G58" s="6"/>
      <c r="H58" s="11"/>
    </row>
    <row r="59" spans="1:8" x14ac:dyDescent="0.2">
      <c r="A59" s="5"/>
      <c r="B59" s="85" t="str">
        <f>IF(OR(Year3!C59="August",Year3!C59="June",Year3!C59="July - August",Year3!C59="June - August",Year3!C59="June - July"),"Summer","Academic")</f>
        <v>Summer</v>
      </c>
      <c r="C59" s="229" t="str">
        <f>Year1!C59</f>
        <v>July - August</v>
      </c>
      <c r="D59" s="229" t="str">
        <f t="array" ref="D59">INDEX(Academic_Year,MATCH($B$8&amp;$C$35,DATE_COLUMN&amp;Calendar_Months,0))</f>
        <v>2027-2028</v>
      </c>
      <c r="E59" s="60">
        <f>INDEX(Number_Months,MATCH(C59,Time_Periods,0))</f>
        <v>2</v>
      </c>
      <c r="F59" s="424">
        <f t="array" ref="F59">INDEX(Salary,MATCH(C58&amp;D59,Range1&amp;Range2,0))</f>
        <v>8056</v>
      </c>
      <c r="G59" s="208">
        <f>Year1!G59</f>
        <v>0.5</v>
      </c>
      <c r="H59" s="11">
        <f>C57*E59*F59*G59</f>
        <v>0</v>
      </c>
    </row>
    <row r="60" spans="1:8" x14ac:dyDescent="0.2">
      <c r="A60" s="5"/>
      <c r="B60" s="85" t="str">
        <f>IF(OR(Year3!C60="August",Year3!C60="June",Year3!C60="July - August",Year3!C60="June - August",Year3!C60="June - July"),"Summer","Academic")</f>
        <v>Academic</v>
      </c>
      <c r="C60" s="229" t="str">
        <f>Year1!C60</f>
        <v>September</v>
      </c>
      <c r="D60" s="229" t="str">
        <f t="array" ref="D60">INDEX(Academic_Year,MATCH($B$8&amp;$C$36,DATE_COLUMN&amp;Calendar_Months,0))</f>
        <v>2027-2028</v>
      </c>
      <c r="E60" s="60">
        <f>INDEX(Number_Months,MATCH(C60,Time_Periods,0))</f>
        <v>1</v>
      </c>
      <c r="F60" s="424">
        <f t="array" ref="F60">INDEX(Salary,MATCH(C58&amp;D60,Range1&amp;Range2,0))</f>
        <v>8056</v>
      </c>
      <c r="G60" s="208">
        <f>Year1!G60</f>
        <v>0.5</v>
      </c>
      <c r="H60" s="11">
        <f>C57*E60*F60*G60</f>
        <v>0</v>
      </c>
    </row>
    <row r="61" spans="1:8" x14ac:dyDescent="0.2">
      <c r="A61" s="5"/>
      <c r="B61" s="85" t="str">
        <f>IF(OR(Year3!C61="August",Year3!C61="June",Year3!C61="July - August",Year3!C61="June - August",Year3!C61="June - July"),"Summer","Academic")</f>
        <v>Academic</v>
      </c>
      <c r="C61" s="229" t="str">
        <f>Year1!C61</f>
        <v>October - December</v>
      </c>
      <c r="D61" s="229" t="str">
        <f t="array" ref="D61">INDEX(Academic_Year,MATCH($B$8&amp;$C$37,DATE_COLUMN&amp;Calendar_Months,0))</f>
        <v>2028-2029</v>
      </c>
      <c r="E61" s="60">
        <f>INDEX(Number_Months,MATCH(C61,Time_Periods,0))</f>
        <v>3</v>
      </c>
      <c r="F61" s="424">
        <f t="array" ref="F61">INDEX(Salary,MATCH(C58&amp;D61,Range1&amp;Range2,0))</f>
        <v>8572</v>
      </c>
      <c r="G61" s="208">
        <f>Year1!G61</f>
        <v>0.5</v>
      </c>
      <c r="H61" s="11">
        <f>C57*E61*F61*G61</f>
        <v>0</v>
      </c>
    </row>
    <row r="62" spans="1:8" x14ac:dyDescent="0.2">
      <c r="A62" s="5"/>
      <c r="B62" s="85" t="str">
        <f>IF(OR(Year3!C62="August",Year3!C62="June",Year3!C62="July - August",Year3!C62="June - August",Year3!C62="June - July"),"Summer","Academic")</f>
        <v>Academic</v>
      </c>
      <c r="C62" s="229" t="str">
        <f>Year1!C62</f>
        <v>January - May</v>
      </c>
      <c r="D62" s="229" t="str">
        <f t="array" ref="D62">INDEX(Academic_Year,MATCH($B$8&amp;$C$38,DATE_COLUMN&amp;Calendar_Months,0))</f>
        <v>2028-2029</v>
      </c>
      <c r="E62" s="60">
        <f>INDEX(Number_Months,MATCH(C62,Time_Periods,0))</f>
        <v>5</v>
      </c>
      <c r="F62" s="424">
        <f t="array" ref="F62">INDEX(Salary,MATCH(C58&amp;D62,Range1&amp;Range2,0))</f>
        <v>8572</v>
      </c>
      <c r="G62" s="208">
        <f>Year1!G62</f>
        <v>0.5</v>
      </c>
      <c r="H62" s="11">
        <f>C57*E62*F62*G62</f>
        <v>0</v>
      </c>
    </row>
    <row r="63" spans="1:8" x14ac:dyDescent="0.2">
      <c r="A63" s="5"/>
      <c r="B63" s="85" t="str">
        <f>IF(OR(Year3!C63="August",Year3!C63="June",Year3!C63="July - August",Year3!C63="June - August",Year3!C63="June - July"),"Summer","Academic")</f>
        <v>Summer</v>
      </c>
      <c r="C63" s="229" t="str">
        <f>Year1!C63</f>
        <v>June</v>
      </c>
      <c r="D63" s="229" t="str">
        <f t="array" ref="D63">INDEX(Academic_Year,MATCH($B$8&amp;$C$39,DATE_COLUMN&amp;Calendar_Months,0))</f>
        <v>2028-2029</v>
      </c>
      <c r="E63" s="60">
        <f>INDEX(Number_Months,MATCH(C63,Time_Periods,0))</f>
        <v>1</v>
      </c>
      <c r="F63" s="424">
        <f t="array" ref="F63">INDEX(Salary,MATCH(C58&amp;D63,Range1&amp;Range2,0))</f>
        <v>8572</v>
      </c>
      <c r="G63" s="208">
        <f>Year1!G63</f>
        <v>0.5</v>
      </c>
      <c r="H63" s="11">
        <f>C57*E63*F63*G63</f>
        <v>0</v>
      </c>
    </row>
    <row r="64" spans="1:8" x14ac:dyDescent="0.2">
      <c r="A64" s="5"/>
      <c r="B64" s="6"/>
      <c r="C64" s="6"/>
      <c r="D64" s="6"/>
      <c r="E64" s="60">
        <f>SUM(E59:E63)</f>
        <v>12</v>
      </c>
      <c r="F64" s="22"/>
      <c r="G64" s="22" t="s">
        <v>9</v>
      </c>
      <c r="H64" s="58">
        <f>SUM(H59:H63)</f>
        <v>0</v>
      </c>
    </row>
    <row r="65" spans="1:8" x14ac:dyDescent="0.2">
      <c r="A65" s="5"/>
      <c r="B65" s="13" t="s">
        <v>11</v>
      </c>
      <c r="C65" s="216">
        <f>Year1!C65</f>
        <v>0</v>
      </c>
      <c r="D65" s="216"/>
      <c r="E65" s="6"/>
      <c r="F65" s="6"/>
      <c r="G65" s="6"/>
      <c r="H65" s="11"/>
    </row>
    <row r="66" spans="1:8" x14ac:dyDescent="0.2">
      <c r="A66" s="5"/>
      <c r="B66" s="6"/>
      <c r="C66" s="451" t="str">
        <f>IF(Year2!C66="GSR Step I","GSR Step II",IF(Year2!C66="GSR Step II","GSR Step III",IF(Year2!C66="GSR Step III","GSR Step III",IF(Year2!C66="GSR Step IV","GSR Step IV",IF(Year2!C66="GSR Step V","GSR Step V",IF(Year2!C66="GSR Step VI","GSR Step VI",0))))))</f>
        <v>GSR Step III</v>
      </c>
      <c r="D66" s="454"/>
      <c r="E66" s="6"/>
      <c r="F66" s="6"/>
      <c r="G66" s="6"/>
      <c r="H66" s="11"/>
    </row>
    <row r="67" spans="1:8" x14ac:dyDescent="0.2">
      <c r="A67" s="5"/>
      <c r="B67" s="85" t="str">
        <f>IF(OR(Year3!C67="August",Year3!C67="June",Year3!C67="July - August",Year3!C67="June - August",Year3!C67="June - July"),"Summer","Academic")</f>
        <v>Summer</v>
      </c>
      <c r="C67" s="229" t="str">
        <f>Year1!C67</f>
        <v>July - August</v>
      </c>
      <c r="D67" s="229" t="str">
        <f t="array" ref="D67">INDEX(Academic_Year,MATCH($B$8&amp;$C$35,DATE_COLUMN&amp;Calendar_Months,0))</f>
        <v>2027-2028</v>
      </c>
      <c r="E67" s="60">
        <f>INDEX(Number_Months,MATCH(C67,Time_Periods,0))</f>
        <v>2</v>
      </c>
      <c r="F67" s="424">
        <f t="array" ref="F67">INDEX(Salary,MATCH(C66&amp;D67,Range1&amp;Range2,0))</f>
        <v>8056</v>
      </c>
      <c r="G67" s="208">
        <f>Year1!G67</f>
        <v>0.5</v>
      </c>
      <c r="H67" s="11">
        <f>C65*E67*F67*G67</f>
        <v>0</v>
      </c>
    </row>
    <row r="68" spans="1:8" x14ac:dyDescent="0.2">
      <c r="A68" s="5"/>
      <c r="B68" s="85" t="str">
        <f>IF(OR(Year3!C68="August",Year3!C68="June",Year3!C68="July - August",Year3!C68="June - August",Year3!C68="June - July"),"Summer","Academic")</f>
        <v>Academic</v>
      </c>
      <c r="C68" s="229" t="str">
        <f>Year1!C68</f>
        <v>September</v>
      </c>
      <c r="D68" s="229" t="str">
        <f t="array" ref="D68">INDEX(Academic_Year,MATCH($B$8&amp;$C$36,DATE_COLUMN&amp;Calendar_Months,0))</f>
        <v>2027-2028</v>
      </c>
      <c r="E68" s="60">
        <f>INDEX(Number_Months,MATCH(C68,Time_Periods,0))</f>
        <v>1</v>
      </c>
      <c r="F68" s="424">
        <f t="array" ref="F68">INDEX(Salary,MATCH(C66&amp;D68,Range1&amp;Range2,0))</f>
        <v>8056</v>
      </c>
      <c r="G68" s="208">
        <f>Year1!G68</f>
        <v>0.5</v>
      </c>
      <c r="H68" s="11">
        <f>C65*E68*F68*G68</f>
        <v>0</v>
      </c>
    </row>
    <row r="69" spans="1:8" x14ac:dyDescent="0.2">
      <c r="A69" s="5"/>
      <c r="B69" s="85" t="str">
        <f>IF(OR(Year3!C69="August",Year3!C69="June",Year3!C69="July - August",Year3!C69="June - August",Year3!C69="June - July"),"Summer","Academic")</f>
        <v>Academic</v>
      </c>
      <c r="C69" s="229" t="str">
        <f>Year1!C69</f>
        <v>October - December</v>
      </c>
      <c r="D69" s="229" t="str">
        <f t="array" ref="D69">INDEX(Academic_Year,MATCH($B$8&amp;$C$37,DATE_COLUMN&amp;Calendar_Months,0))</f>
        <v>2028-2029</v>
      </c>
      <c r="E69" s="60">
        <f>INDEX(Number_Months,MATCH(C69,Time_Periods,0))</f>
        <v>3</v>
      </c>
      <c r="F69" s="424">
        <f t="array" ref="F69">INDEX(Salary,MATCH(C66&amp;D69,Range1&amp;Range2,0))</f>
        <v>8572</v>
      </c>
      <c r="G69" s="208">
        <f>Year1!G69</f>
        <v>0.5</v>
      </c>
      <c r="H69" s="11">
        <f>C65*E69*F69*G69</f>
        <v>0</v>
      </c>
    </row>
    <row r="70" spans="1:8" x14ac:dyDescent="0.2">
      <c r="A70" s="5"/>
      <c r="B70" s="85" t="str">
        <f>IF(OR(Year3!C70="August",Year3!C70="June",Year3!C70="July - August",Year3!C70="June - August",Year3!C70="June - July"),"Summer","Academic")</f>
        <v>Academic</v>
      </c>
      <c r="C70" s="229" t="str">
        <f>Year1!C70</f>
        <v>January - May</v>
      </c>
      <c r="D70" s="229" t="str">
        <f t="array" ref="D70">INDEX(Academic_Year,MATCH($B$8&amp;$C$38,DATE_COLUMN&amp;Calendar_Months,0))</f>
        <v>2028-2029</v>
      </c>
      <c r="E70" s="60">
        <f>INDEX(Number_Months,MATCH(C70,Time_Periods,0))</f>
        <v>5</v>
      </c>
      <c r="F70" s="424">
        <f t="array" ref="F70">INDEX(Salary,MATCH(C66&amp;D70,Range1&amp;Range2,0))</f>
        <v>8572</v>
      </c>
      <c r="G70" s="208">
        <f>Year1!G70</f>
        <v>0.5</v>
      </c>
      <c r="H70" s="11">
        <f>C65*E70*F70*G70</f>
        <v>0</v>
      </c>
    </row>
    <row r="71" spans="1:8" x14ac:dyDescent="0.2">
      <c r="A71" s="5"/>
      <c r="B71" s="85" t="str">
        <f>IF(OR(Year3!C71="August",Year3!C71="June",Year3!C71="July - August",Year3!C71="June - August",Year3!C71="June - July"),"Summer","Academic")</f>
        <v>Summer</v>
      </c>
      <c r="C71" s="229" t="str">
        <f>Year1!C71</f>
        <v>June</v>
      </c>
      <c r="D71" s="229" t="str">
        <f t="array" ref="D71">INDEX(Academic_Year,MATCH($B$8&amp;$C$39,DATE_COLUMN&amp;Calendar_Months,0))</f>
        <v>2028-2029</v>
      </c>
      <c r="E71" s="60">
        <f>INDEX(Number_Months,MATCH(C71,Time_Periods,0))</f>
        <v>1</v>
      </c>
      <c r="F71" s="424">
        <f t="array" ref="F71">INDEX(Salary,MATCH(C66&amp;D71,Range1&amp;Range2,0))</f>
        <v>8572</v>
      </c>
      <c r="G71" s="208">
        <f>Year1!G71</f>
        <v>0.5</v>
      </c>
      <c r="H71" s="11">
        <f>C65*E71*F71*G71</f>
        <v>0</v>
      </c>
    </row>
    <row r="72" spans="1:8" x14ac:dyDescent="0.2">
      <c r="A72" s="5"/>
      <c r="B72" s="6"/>
      <c r="C72" s="6"/>
      <c r="D72" s="6"/>
      <c r="E72" s="60">
        <f>SUM(E67:E71)</f>
        <v>12</v>
      </c>
      <c r="F72" s="22"/>
      <c r="G72" s="22" t="s">
        <v>9</v>
      </c>
      <c r="H72" s="58">
        <f>SUM(H67:H71)</f>
        <v>0</v>
      </c>
    </row>
    <row r="73" spans="1:8" x14ac:dyDescent="0.2">
      <c r="A73" s="5"/>
      <c r="B73" s="13" t="s">
        <v>11</v>
      </c>
      <c r="C73" s="216">
        <f>Year1!C73</f>
        <v>0</v>
      </c>
      <c r="D73" s="216"/>
      <c r="E73" s="6"/>
      <c r="F73" s="6"/>
      <c r="G73" s="6"/>
      <c r="H73" s="11"/>
    </row>
    <row r="74" spans="1:8" x14ac:dyDescent="0.2">
      <c r="A74" s="5"/>
      <c r="B74" s="6"/>
      <c r="C74" s="451" t="str">
        <f>IF(Year2!C74="GSR Step I","GSR Step II",IF(Year2!C74="GSR Step II","GSR Step III",IF(Year2!C74="GSR Step III","GSR Step III",IF(Year2!C74="GSR Step IV","GSR Step IV",IF(Year2!C74="GSR Step V","GSR Step V",IF(Year2!C74="GSR Step VI","GSR Step VI",0))))))</f>
        <v>GSR Step III</v>
      </c>
      <c r="D74" s="454"/>
      <c r="E74" s="6"/>
      <c r="F74" s="6"/>
      <c r="G74" s="6"/>
      <c r="H74" s="11"/>
    </row>
    <row r="75" spans="1:8" x14ac:dyDescent="0.2">
      <c r="A75" s="5"/>
      <c r="B75" s="85" t="str">
        <f>IF(OR(Year3!C75="August",Year3!C75="June",Year3!C75="July - August",Year3!C75="June - August",Year3!C75="June - July"),"Summer","Academic")</f>
        <v>Summer</v>
      </c>
      <c r="C75" s="229" t="str">
        <f>Year1!C75</f>
        <v>July - August</v>
      </c>
      <c r="D75" s="229" t="str">
        <f t="array" ref="D75">INDEX(Academic_Year,MATCH($B$8&amp;$C$35,DATE_COLUMN&amp;Calendar_Months,0))</f>
        <v>2027-2028</v>
      </c>
      <c r="E75" s="60">
        <f>INDEX(Number_Months,MATCH(C75,Time_Periods,0))</f>
        <v>2</v>
      </c>
      <c r="F75" s="424">
        <f t="array" ref="F75">INDEX(Salary,MATCH(C74&amp;D75,Range1&amp;Range2,0))</f>
        <v>8056</v>
      </c>
      <c r="G75" s="208">
        <f>Year1!G75</f>
        <v>0.5</v>
      </c>
      <c r="H75" s="11">
        <f>C73*E75*F75*G75</f>
        <v>0</v>
      </c>
    </row>
    <row r="76" spans="1:8" x14ac:dyDescent="0.2">
      <c r="A76" s="5"/>
      <c r="B76" s="85" t="str">
        <f>IF(OR(Year3!C76="August",Year3!C76="June",Year3!C76="July - August",Year3!C76="June - August",Year3!C76="June - July"),"Summer","Academic")</f>
        <v>Academic</v>
      </c>
      <c r="C76" s="229" t="str">
        <f>Year1!C76</f>
        <v>September</v>
      </c>
      <c r="D76" s="229" t="str">
        <f t="array" ref="D76">INDEX(Academic_Year,MATCH($B$8&amp;$C$36,DATE_COLUMN&amp;Calendar_Months,0))</f>
        <v>2027-2028</v>
      </c>
      <c r="E76" s="60">
        <f>INDEX(Number_Months,MATCH(C76,Time_Periods,0))</f>
        <v>1</v>
      </c>
      <c r="F76" s="424">
        <f t="array" ref="F76">INDEX(Salary,MATCH(C74&amp;D76,Range1&amp;Range2,0))</f>
        <v>8056</v>
      </c>
      <c r="G76" s="208">
        <f>Year1!G76</f>
        <v>0.5</v>
      </c>
      <c r="H76" s="11">
        <f>C73*E76*F76*G76</f>
        <v>0</v>
      </c>
    </row>
    <row r="77" spans="1:8" x14ac:dyDescent="0.2">
      <c r="A77" s="5"/>
      <c r="B77" s="85" t="str">
        <f>IF(OR(Year3!C77="August",Year3!C77="June",Year3!C77="July - August",Year3!C77="June - August",Year3!C77="June - July"),"Summer","Academic")</f>
        <v>Academic</v>
      </c>
      <c r="C77" s="229" t="str">
        <f>Year1!C77</f>
        <v>October - December</v>
      </c>
      <c r="D77" s="229" t="str">
        <f t="array" ref="D77">INDEX(Academic_Year,MATCH($B$8&amp;$C$37,DATE_COLUMN&amp;Calendar_Months,0))</f>
        <v>2028-2029</v>
      </c>
      <c r="E77" s="60">
        <f>INDEX(Number_Months,MATCH(C77,Time_Periods,0))</f>
        <v>3</v>
      </c>
      <c r="F77" s="424">
        <f t="array" ref="F77">INDEX(Salary,MATCH(C74&amp;D77,Range1&amp;Range2,0))</f>
        <v>8572</v>
      </c>
      <c r="G77" s="208">
        <f>Year1!G77</f>
        <v>0.5</v>
      </c>
      <c r="H77" s="11">
        <f>C73*E77*F77*G77</f>
        <v>0</v>
      </c>
    </row>
    <row r="78" spans="1:8" x14ac:dyDescent="0.2">
      <c r="A78" s="5"/>
      <c r="B78" s="85" t="str">
        <f>IF(OR(Year3!C78="August",Year3!C78="June",Year3!C78="July - August",Year3!C78="June - August",Year3!C78="June - July"),"Summer","Academic")</f>
        <v>Academic</v>
      </c>
      <c r="C78" s="229" t="str">
        <f>Year1!C78</f>
        <v>January - May</v>
      </c>
      <c r="D78" s="229" t="str">
        <f t="array" ref="D78">INDEX(Academic_Year,MATCH($B$8&amp;$C$38,DATE_COLUMN&amp;Calendar_Months,0))</f>
        <v>2028-2029</v>
      </c>
      <c r="E78" s="60">
        <f>INDEX(Number_Months,MATCH(C78,Time_Periods,0))</f>
        <v>5</v>
      </c>
      <c r="F78" s="424">
        <f t="array" ref="F78">INDEX(Salary,MATCH(C74&amp;D78,Range1&amp;Range2,0))</f>
        <v>8572</v>
      </c>
      <c r="G78" s="208">
        <f>Year1!G78</f>
        <v>0.5</v>
      </c>
      <c r="H78" s="11">
        <f>C73*E78*F78*G78</f>
        <v>0</v>
      </c>
    </row>
    <row r="79" spans="1:8" x14ac:dyDescent="0.2">
      <c r="A79" s="5"/>
      <c r="B79" s="85" t="str">
        <f>IF(OR(Year3!C79="August",Year3!C79="June",Year3!C79="July - August",Year3!C79="June - August",Year3!C79="June - July"),"Summer","Academic")</f>
        <v>Summer</v>
      </c>
      <c r="C79" s="229" t="str">
        <f>Year1!C79</f>
        <v>June</v>
      </c>
      <c r="D79" s="229" t="str">
        <f t="array" ref="D79">INDEX(Academic_Year,MATCH($B$8&amp;$C$39,DATE_COLUMN&amp;Calendar_Months,0))</f>
        <v>2028-2029</v>
      </c>
      <c r="E79" s="60">
        <f>INDEX(Number_Months,MATCH(C79,Time_Periods,0))</f>
        <v>1</v>
      </c>
      <c r="F79" s="424">
        <f t="array" ref="F79">INDEX(Salary,MATCH(C74&amp;D79,Range1&amp;Range2,0))</f>
        <v>8572</v>
      </c>
      <c r="G79" s="208">
        <f>Year1!G79</f>
        <v>0.5</v>
      </c>
      <c r="H79" s="11">
        <f>C73*E79*F79*G79</f>
        <v>0</v>
      </c>
    </row>
    <row r="80" spans="1:8" x14ac:dyDescent="0.2">
      <c r="A80" s="5"/>
      <c r="B80" s="6"/>
      <c r="C80" s="6"/>
      <c r="D80" s="6"/>
      <c r="E80" s="60">
        <f>SUM(E75:E79)</f>
        <v>12</v>
      </c>
      <c r="F80" s="22"/>
      <c r="G80" s="22" t="s">
        <v>9</v>
      </c>
      <c r="H80" s="58">
        <f>SUM(H75:H79)</f>
        <v>0</v>
      </c>
    </row>
    <row r="81" spans="1:8" x14ac:dyDescent="0.2">
      <c r="A81" s="4" t="s">
        <v>17</v>
      </c>
      <c r="E81" s="60"/>
      <c r="G81" s="19" t="s">
        <v>111</v>
      </c>
      <c r="H81" s="10">
        <f>IF(Year1!H8=1,0,IF(Year1!H8=2,0,H80+H72+H64+H56+H48+H40+H32))</f>
        <v>0</v>
      </c>
    </row>
    <row r="82" spans="1:8" x14ac:dyDescent="0.2">
      <c r="A82" s="4"/>
      <c r="B82" s="13" t="s">
        <v>54</v>
      </c>
      <c r="C82" s="6" t="s">
        <v>197</v>
      </c>
      <c r="E82" s="60"/>
      <c r="F82" s="13"/>
      <c r="H82" s="10"/>
    </row>
    <row r="83" spans="1:8" x14ac:dyDescent="0.2">
      <c r="A83" s="5"/>
      <c r="B83" s="421">
        <f>Year1!B83</f>
        <v>0</v>
      </c>
      <c r="C83" s="242" t="str">
        <f>Year1!C83</f>
        <v>Specialist, IX</v>
      </c>
      <c r="D83" s="224"/>
      <c r="E83" s="224" t="s">
        <v>8</v>
      </c>
      <c r="F83" s="297">
        <f>H84+H85</f>
        <v>0</v>
      </c>
      <c r="G83" s="208"/>
      <c r="H83" s="11"/>
    </row>
    <row r="84" spans="1:8" x14ac:dyDescent="0.2">
      <c r="A84" s="5"/>
      <c r="B84" s="426"/>
      <c r="C84" s="229" t="str">
        <f>INDEX(Period1_AR,MATCH(Grid!K1,Begin_Month2))</f>
        <v>July - June</v>
      </c>
      <c r="D84" s="229" t="str" cm="1">
        <f t="array" ref="D84">INDEX(Fiscal_Year_,MATCH($B$8&amp;C84,DATE_COLUMN_AR&amp;CALENDAR_MONTHS_AR,0))</f>
        <v>FY29</v>
      </c>
      <c r="E84" s="262">
        <f>VLOOKUP(C84,Grid2!$I$27:$J$38,2,FALSE)</f>
        <v>12</v>
      </c>
      <c r="F84" s="424" cm="1">
        <f t="array" ref="F84">INDEX(AR_SALARY,MATCH(C83&amp;D84,AR_Title&amp;AR_FY,0))</f>
        <v>18171.285793876799</v>
      </c>
      <c r="G84" s="215">
        <f>Year1!G84</f>
        <v>1</v>
      </c>
      <c r="H84" s="11">
        <f>ROUND(B83*E84*F84*G84,0)</f>
        <v>0</v>
      </c>
    </row>
    <row r="85" spans="1:8" x14ac:dyDescent="0.2">
      <c r="A85" s="5"/>
      <c r="B85" s="426"/>
      <c r="C85" s="229" t="str">
        <f>INDEX(Period2_AR,MATCH(Grid!K1,Begin_Month2))</f>
        <v>none</v>
      </c>
      <c r="D85" s="229" t="str" cm="1">
        <f t="array" ref="D85">INDEX(Fiscal_Year_,MATCH($B$8&amp;C85,DATE_COLUMN_AR&amp;CALENDAR_MONTHS_AR,0))</f>
        <v>FY29</v>
      </c>
      <c r="E85" s="262">
        <f>VLOOKUP(C85,Grid2!$K$27:$L$38,2,FALSE)</f>
        <v>0</v>
      </c>
      <c r="F85" s="424" cm="1">
        <f t="array" ref="F85">INDEX(AR_SALARY,MATCH(C83&amp;D85,AR_Title&amp;AR_FY,0))</f>
        <v>18171.285793876799</v>
      </c>
      <c r="G85" s="215">
        <f>Year1!G85</f>
        <v>1</v>
      </c>
      <c r="H85" s="11">
        <f>ROUND(B83*E85*F85*G85,0)</f>
        <v>0</v>
      </c>
    </row>
    <row r="86" spans="1:8" x14ac:dyDescent="0.2">
      <c r="A86" s="5"/>
      <c r="B86" s="421">
        <f>Year1!B86</f>
        <v>0</v>
      </c>
      <c r="C86" s="330" t="str">
        <f>Year1!C86</f>
        <v>Research Engineer, I</v>
      </c>
      <c r="D86" s="225"/>
      <c r="E86" s="224" t="s">
        <v>8</v>
      </c>
      <c r="F86" s="297">
        <f>H87+H88</f>
        <v>0</v>
      </c>
      <c r="G86" s="208"/>
      <c r="H86" s="11"/>
    </row>
    <row r="87" spans="1:8" x14ac:dyDescent="0.2">
      <c r="A87" s="5"/>
      <c r="B87" s="426"/>
      <c r="C87" s="229" t="str">
        <f>INDEX(Period1_AR,MATCH(Grid!K1,Begin_Month2))</f>
        <v>July - June</v>
      </c>
      <c r="D87" s="229" t="str" cm="1">
        <f t="array" ref="D87">INDEX(Fiscal_Year_,MATCH($B$8&amp;C87,DATE_COLUMN_AR&amp;CALENDAR_MONTHS_AR,0))</f>
        <v>FY29</v>
      </c>
      <c r="E87" s="262">
        <f>VLOOKUP(C87,Grid2!$I$27:$J$38,2,FALSE)</f>
        <v>12</v>
      </c>
      <c r="F87" s="424" cm="1">
        <f t="array" ref="F87">INDEX(AR_SALARY,MATCH(C86&amp;D87,AR_Title&amp;AR_FY,0))</f>
        <v>15689.879362123198</v>
      </c>
      <c r="G87" s="215">
        <f>Year1!G87</f>
        <v>1</v>
      </c>
      <c r="H87" s="11">
        <f>ROUND(B86*E87*F87*G87,0)</f>
        <v>0</v>
      </c>
    </row>
    <row r="88" spans="1:8" x14ac:dyDescent="0.2">
      <c r="A88" s="5"/>
      <c r="B88" s="426"/>
      <c r="C88" s="229" t="str">
        <f>INDEX(Period2_AR,MATCH(Grid!K1,Begin_Month2))</f>
        <v>none</v>
      </c>
      <c r="D88" s="229" t="str" cm="1">
        <f t="array" ref="D88">INDEX(Fiscal_Year_,MATCH($B$8&amp;C88,DATE_COLUMN_AR&amp;CALENDAR_MONTHS_AR,0))</f>
        <v>FY29</v>
      </c>
      <c r="E88" s="262">
        <f>VLOOKUP(C88,Grid2!$K$27:$L$38,2,FALSE)</f>
        <v>0</v>
      </c>
      <c r="F88" s="424" cm="1">
        <f t="array" ref="F88">INDEX(AR_SALARY,MATCH(C86&amp;D88,AR_Title&amp;AR_FY,0))</f>
        <v>15689.879362123198</v>
      </c>
      <c r="G88" s="215">
        <f>Year1!G88</f>
        <v>1</v>
      </c>
      <c r="H88" s="11">
        <f t="shared" ref="H88" si="0">ROUND(B86*E88*F88*G88,0)</f>
        <v>0</v>
      </c>
    </row>
    <row r="89" spans="1:8" x14ac:dyDescent="0.2">
      <c r="A89" s="5"/>
      <c r="B89" s="421">
        <f>Year1!B89</f>
        <v>0</v>
      </c>
      <c r="C89" s="6" t="s">
        <v>18</v>
      </c>
      <c r="D89" s="120" t="s">
        <v>567</v>
      </c>
      <c r="E89" s="213">
        <f>Year1!E89</f>
        <v>0</v>
      </c>
      <c r="F89" s="419">
        <f>Year1!F89</f>
        <v>18.670000000000002</v>
      </c>
      <c r="G89" s="215">
        <f>Year1!G89</f>
        <v>1</v>
      </c>
      <c r="H89" s="11">
        <f t="shared" ref="H89:H94" si="1">ROUND(B89*E89*F89*G89,0)</f>
        <v>0</v>
      </c>
    </row>
    <row r="90" spans="1:8" x14ac:dyDescent="0.2">
      <c r="A90" s="5"/>
      <c r="B90" s="421">
        <f>Year1!B90</f>
        <v>0</v>
      </c>
      <c r="C90" s="6" t="s">
        <v>18</v>
      </c>
      <c r="D90" s="120" t="s">
        <v>567</v>
      </c>
      <c r="E90" s="213">
        <f>Year1!E90</f>
        <v>0</v>
      </c>
      <c r="F90" s="419">
        <f>Year1!F90</f>
        <v>18.670000000000002</v>
      </c>
      <c r="G90" s="215">
        <f>Year1!G90</f>
        <v>1</v>
      </c>
      <c r="H90" s="11">
        <f t="shared" si="1"/>
        <v>0</v>
      </c>
    </row>
    <row r="91" spans="1:8" x14ac:dyDescent="0.2">
      <c r="A91" s="5"/>
      <c r="B91" s="421">
        <f>Year1!B91</f>
        <v>0</v>
      </c>
      <c r="C91" s="6" t="s">
        <v>18</v>
      </c>
      <c r="D91" s="120" t="s">
        <v>567</v>
      </c>
      <c r="E91" s="213">
        <f>Year1!E91</f>
        <v>0</v>
      </c>
      <c r="F91" s="419">
        <f>Year1!F91</f>
        <v>18.670000000000002</v>
      </c>
      <c r="G91" s="215">
        <f>Year1!G91</f>
        <v>1</v>
      </c>
      <c r="H91" s="11">
        <f t="shared" si="1"/>
        <v>0</v>
      </c>
    </row>
    <row r="92" spans="1:8" x14ac:dyDescent="0.2">
      <c r="A92" s="5"/>
      <c r="B92" s="421">
        <f>Year1!B92</f>
        <v>0</v>
      </c>
      <c r="C92" s="6" t="s">
        <v>107</v>
      </c>
      <c r="D92" s="6"/>
      <c r="E92" s="213">
        <f>Year1!E92</f>
        <v>12</v>
      </c>
      <c r="F92" s="214">
        <f>Year2!F92*1.04</f>
        <v>10.816000000000001</v>
      </c>
      <c r="G92" s="215">
        <f>Year1!G92</f>
        <v>1</v>
      </c>
      <c r="H92" s="11">
        <f t="shared" si="1"/>
        <v>0</v>
      </c>
    </row>
    <row r="93" spans="1:8" x14ac:dyDescent="0.2">
      <c r="A93" s="5"/>
      <c r="B93" s="421">
        <f>Year1!B93</f>
        <v>0</v>
      </c>
      <c r="C93" s="6" t="s">
        <v>107</v>
      </c>
      <c r="D93" s="6"/>
      <c r="E93" s="213">
        <f>Year1!E93</f>
        <v>12</v>
      </c>
      <c r="F93" s="214">
        <f>Year2!F93*1.04</f>
        <v>10.816000000000001</v>
      </c>
      <c r="G93" s="215">
        <f>Year1!G93</f>
        <v>1</v>
      </c>
      <c r="H93" s="11">
        <f t="shared" si="1"/>
        <v>0</v>
      </c>
    </row>
    <row r="94" spans="1:8" x14ac:dyDescent="0.2">
      <c r="A94" s="5"/>
      <c r="B94" s="421">
        <f>Year1!B94</f>
        <v>0</v>
      </c>
      <c r="C94" s="6" t="s">
        <v>107</v>
      </c>
      <c r="D94" s="6"/>
      <c r="E94" s="213">
        <f>Year1!E94</f>
        <v>12</v>
      </c>
      <c r="F94" s="214">
        <f>Year2!F94*1.04</f>
        <v>10.816000000000001</v>
      </c>
      <c r="G94" s="215">
        <f>Year1!G94</f>
        <v>1</v>
      </c>
      <c r="H94" s="11">
        <f t="shared" si="1"/>
        <v>0</v>
      </c>
    </row>
    <row r="95" spans="1:8" x14ac:dyDescent="0.2">
      <c r="A95" s="5"/>
      <c r="B95" s="421">
        <f>Year1!B95</f>
        <v>0</v>
      </c>
      <c r="C95" s="6" t="s">
        <v>153</v>
      </c>
      <c r="D95" s="6"/>
      <c r="E95" s="213">
        <f>Year1!E95</f>
        <v>12</v>
      </c>
      <c r="F95" s="214">
        <f>Year2!F95*1.04</f>
        <v>10.816000000000001</v>
      </c>
      <c r="G95" s="215">
        <f>Year1!G95</f>
        <v>1</v>
      </c>
      <c r="H95" s="11">
        <f>ROUND(B95*E95*F95*G95,0)</f>
        <v>0</v>
      </c>
    </row>
    <row r="96" spans="1:8" x14ac:dyDescent="0.2">
      <c r="A96" s="5"/>
      <c r="B96" s="421">
        <f>Year1!B96</f>
        <v>0</v>
      </c>
      <c r="C96" s="6" t="s">
        <v>153</v>
      </c>
      <c r="D96" s="6"/>
      <c r="E96" s="213">
        <f>Year1!E96</f>
        <v>12</v>
      </c>
      <c r="F96" s="214">
        <f>Year2!F96*1.04</f>
        <v>10.816000000000001</v>
      </c>
      <c r="G96" s="215">
        <f>Year1!G96</f>
        <v>1</v>
      </c>
      <c r="H96" s="11">
        <f t="shared" ref="H96:H98" si="2">ROUND(B96*E96*F96*G96,0)</f>
        <v>0</v>
      </c>
    </row>
    <row r="97" spans="1:8" x14ac:dyDescent="0.2">
      <c r="A97" s="5"/>
      <c r="B97" s="421">
        <f>Year1!B97</f>
        <v>0</v>
      </c>
      <c r="C97" s="6" t="s">
        <v>1302</v>
      </c>
      <c r="D97" s="6"/>
      <c r="E97" s="213">
        <f>Year1!E97</f>
        <v>12</v>
      </c>
      <c r="F97" s="214">
        <f>Year2!F97*1.04</f>
        <v>10.816000000000001</v>
      </c>
      <c r="G97" s="215">
        <f>Year1!G97</f>
        <v>1</v>
      </c>
      <c r="H97" s="11">
        <f t="shared" si="2"/>
        <v>0</v>
      </c>
    </row>
    <row r="98" spans="1:8" x14ac:dyDescent="0.2">
      <c r="A98" s="5"/>
      <c r="B98" s="421">
        <f>Year1!B98</f>
        <v>0</v>
      </c>
      <c r="C98" s="6" t="s">
        <v>1302</v>
      </c>
      <c r="D98" s="6"/>
      <c r="E98" s="213">
        <f>Year1!E98</f>
        <v>12</v>
      </c>
      <c r="F98" s="214">
        <f>Year2!F98*1.04</f>
        <v>10.816000000000001</v>
      </c>
      <c r="G98" s="215">
        <f>Year1!G98</f>
        <v>1</v>
      </c>
      <c r="H98" s="11">
        <f t="shared" si="2"/>
        <v>0</v>
      </c>
    </row>
    <row r="99" spans="1:8" x14ac:dyDescent="0.2">
      <c r="A99" s="5"/>
      <c r="D99" s="436" t="s">
        <v>1157</v>
      </c>
      <c r="H99" s="17"/>
    </row>
    <row r="100" spans="1:8" x14ac:dyDescent="0.2">
      <c r="A100" s="5"/>
      <c r="B100" s="443"/>
      <c r="C100" s="441" t="s">
        <v>1183</v>
      </c>
      <c r="D100" s="436"/>
      <c r="E100" s="213"/>
      <c r="F100" s="214"/>
      <c r="G100" s="215"/>
      <c r="H100" s="11"/>
    </row>
    <row r="101" spans="1:8" x14ac:dyDescent="0.2">
      <c r="A101" s="5"/>
      <c r="B101" s="443">
        <f>Year1!B101</f>
        <v>0</v>
      </c>
      <c r="C101" s="6" t="s">
        <v>22</v>
      </c>
      <c r="D101" s="242">
        <f>IF(Year2!D101=Blank,"Blank",Year2!D101+1)</f>
        <v>6</v>
      </c>
      <c r="E101" s="440">
        <f>IF(D101=Blank,"Blank",D101+1)</f>
        <v>7</v>
      </c>
      <c r="F101" s="446"/>
      <c r="G101" s="41"/>
      <c r="H101" s="11"/>
    </row>
    <row r="102" spans="1:8" x14ac:dyDescent="0.2">
      <c r="A102" s="5"/>
      <c r="B102" s="443"/>
      <c r="C102" s="229" t="str">
        <f>INDEX(hiredate2_period1,MATCH(Grid!$K$1,Grid2!$D$2:$D$13))</f>
        <v>July - September</v>
      </c>
      <c r="D102" s="229" t="str" cm="1">
        <f t="array" ref="D102">INDEX(Grid2!$W$27:$W$350,MATCH($B$8&amp;$C$102,Grid2!$U$27:$U$350&amp;Grid2!$V$27:$V$350,0))</f>
        <v>FY28E</v>
      </c>
      <c r="E102" s="229">
        <f>VLOOKUP(C102,Grid2!$I$2:$J$13,2,FALSE)</f>
        <v>3</v>
      </c>
      <c r="F102" s="246" cm="1">
        <f t="array" ref="F102">INDEX(hiredate2_salary,MATCH($D$101&amp;D102,exp_level_hire_date_2&amp;hiredate2_FY,0))</f>
        <v>7358.75</v>
      </c>
      <c r="G102" s="215">
        <f>Year1!G102</f>
        <v>1</v>
      </c>
      <c r="H102" s="11">
        <f>ROUND(B101*E102*F102*G102,0)</f>
        <v>0</v>
      </c>
    </row>
    <row r="103" spans="1:8" x14ac:dyDescent="0.2">
      <c r="B103" s="443"/>
      <c r="C103" s="229" t="str">
        <f>INDEX(Hiredate2_period2,MATCH(Grid!$K$1,Grid2!$D$2:$D$13))</f>
        <v>October - March</v>
      </c>
      <c r="D103" s="229" t="str" cm="1">
        <f t="array" ref="D103">INDEX(Grid2!$W$27:$W$350,MATCH($B$8&amp;$C$103,Grid2!$U$27:$U$350&amp;Grid2!$V$27:$V$350,0))</f>
        <v>FY29R</v>
      </c>
      <c r="E103" s="229">
        <f>VLOOKUP(C103,Grid2!$K$2:$L$13,2,FALSE)</f>
        <v>6</v>
      </c>
      <c r="F103" s="246" cm="1">
        <f t="array" ref="F103">INDEX(hiredate2_salary,MATCH($D$101&amp;D103,exp_level_hire_date_2&amp;hiredate2_FY,0))</f>
        <v>7579.51</v>
      </c>
      <c r="G103" s="215">
        <f>Year1!G103</f>
        <v>1</v>
      </c>
      <c r="H103" s="11">
        <f>ROUND(B101*E103*F103*G103,0)</f>
        <v>0</v>
      </c>
    </row>
    <row r="104" spans="1:8" x14ac:dyDescent="0.2">
      <c r="B104" s="443"/>
      <c r="C104" s="229" t="str">
        <f>INDEX(hiredate2_period3,MATCH(Grid!$K$1,Grid2!$D$2:$D$13))</f>
        <v>April - June</v>
      </c>
      <c r="D104" s="229" t="str" cm="1">
        <f t="array" ref="D104">INDEX(Grid2!$W$27:$W$350,MATCH($B$8&amp;$C$104,Grid2!$U$27:$U$350&amp;Grid2!$V$27:$V$350,0))</f>
        <v>FY29E</v>
      </c>
      <c r="E104" s="229">
        <f>VLOOKUP(C104,Grid2!$M$2:$N$13,2,FALSE)</f>
        <v>3</v>
      </c>
      <c r="F104" s="246" cm="1">
        <f t="array" ref="F104">INDEX(hiredate2_salary,MATCH(($D$101+1)&amp;D104,exp_level_hire_date_2&amp;hiredate2_FY,0))</f>
        <v>7579.51</v>
      </c>
      <c r="G104" s="215">
        <f>Year1!G104</f>
        <v>1</v>
      </c>
      <c r="H104" s="11">
        <f>ROUND(B101*E104*F104*G104,0)</f>
        <v>0</v>
      </c>
    </row>
    <row r="105" spans="1:8" x14ac:dyDescent="0.2">
      <c r="B105" s="443">
        <f>Year1!B105</f>
        <v>0</v>
      </c>
      <c r="C105" s="6" t="s">
        <v>22</v>
      </c>
      <c r="D105" s="242">
        <f>IF(Year2!D105=Blank,"Blank",Year2!D105+1)</f>
        <v>6</v>
      </c>
      <c r="E105" s="458">
        <f>IF(D105=Blank,"Blank",D105+1)</f>
        <v>7</v>
      </c>
      <c r="F105" s="460"/>
      <c r="G105" s="41"/>
      <c r="H105" s="11"/>
    </row>
    <row r="106" spans="1:8" x14ac:dyDescent="0.2">
      <c r="B106" s="443"/>
      <c r="C106" s="229" t="str">
        <f>INDEX(hiredate2_period1,MATCH(Grid!$K$1,Grid2!$D$2:$D$13))</f>
        <v>July - September</v>
      </c>
      <c r="D106" s="229" t="str" cm="1">
        <f t="array" ref="D106">INDEX(Grid2!$W$27:$W$350,MATCH($B$8&amp;$C$102,Grid2!$U$27:$U$350&amp;Grid2!$V$27:$V$350,0))</f>
        <v>FY28E</v>
      </c>
      <c r="E106" s="229">
        <f>VLOOKUP(C106,Grid2!$I$2:$J$13,2,FALSE)</f>
        <v>3</v>
      </c>
      <c r="F106" s="246" cm="1">
        <f t="array" ref="F106">INDEX(hiredate2_salary,MATCH($D$105&amp;D106,exp_level_hire_date_2&amp;hiredate2_FY,0))</f>
        <v>7358.75</v>
      </c>
      <c r="G106" s="215">
        <f>Year1!G106</f>
        <v>1</v>
      </c>
      <c r="H106" s="11">
        <f>ROUND(B105*E106*F106*G106,0)</f>
        <v>0</v>
      </c>
    </row>
    <row r="107" spans="1:8" x14ac:dyDescent="0.2">
      <c r="B107" s="443"/>
      <c r="C107" s="229" t="str">
        <f>INDEX(Hiredate2_period2,MATCH(Grid!$K$1,Grid2!$D$2:$D$13))</f>
        <v>October - March</v>
      </c>
      <c r="D107" s="229" t="str" cm="1">
        <f t="array" ref="D107">INDEX(Grid2!$W$27:$W$350,MATCH($B$8&amp;$C$103,Grid2!$U$27:$U$350&amp;Grid2!$V$27:$V$350,0))</f>
        <v>FY29R</v>
      </c>
      <c r="E107" s="229">
        <f>VLOOKUP(C107,Grid2!$K$2:$L$13,2,FALSE)</f>
        <v>6</v>
      </c>
      <c r="F107" s="246" cm="1">
        <f t="array" ref="F107">INDEX(hiredate2_salary,MATCH($D$105&amp;D107,exp_level_hire_date_2&amp;hiredate2_FY,0))</f>
        <v>7579.51</v>
      </c>
      <c r="G107" s="215">
        <f>Year1!G107</f>
        <v>1</v>
      </c>
      <c r="H107" s="11">
        <f>ROUND(B105*E107*F107*G107,0)</f>
        <v>0</v>
      </c>
    </row>
    <row r="108" spans="1:8" x14ac:dyDescent="0.2">
      <c r="B108" s="443"/>
      <c r="C108" s="229" t="str">
        <f>INDEX(hiredate2_period3,MATCH(Grid!$K$1,Grid2!$D$2:$D$13))</f>
        <v>April - June</v>
      </c>
      <c r="D108" s="229" t="str" cm="1">
        <f t="array" ref="D108">INDEX(Grid2!$W$27:$W$350,MATCH($B$8&amp;$C$104,Grid2!$U$27:$U$350&amp;Grid2!$V$27:$V$350,0))</f>
        <v>FY29E</v>
      </c>
      <c r="E108" s="229">
        <f>VLOOKUP(C108,Grid2!$M$2:$N$13,2,FALSE)</f>
        <v>3</v>
      </c>
      <c r="F108" s="246" cm="1">
        <f t="array" ref="F108">INDEX(hiredate2_salary,MATCH(($D$105+1)&amp;D108,exp_level_hire_date_2&amp;hiredate2_FY,0))</f>
        <v>7579.51</v>
      </c>
      <c r="G108" s="215">
        <f>Year1!G108</f>
        <v>1</v>
      </c>
      <c r="H108" s="11">
        <f>ROUND(B105*E108*F108*G108,0)</f>
        <v>0</v>
      </c>
    </row>
    <row r="109" spans="1:8" x14ac:dyDescent="0.2">
      <c r="B109" s="443">
        <f>Year1!B109</f>
        <v>0</v>
      </c>
      <c r="C109" s="6" t="s">
        <v>22</v>
      </c>
      <c r="D109" s="242">
        <f>IF(Year2!D109=Blank,"Blank",Year2!D109+1)</f>
        <v>6</v>
      </c>
      <c r="E109" s="458">
        <f>IF(D109=Blank,"Blank",D109+1)</f>
        <v>7</v>
      </c>
      <c r="F109" s="460"/>
      <c r="G109" s="41"/>
      <c r="H109" s="11"/>
    </row>
    <row r="110" spans="1:8" x14ac:dyDescent="0.2">
      <c r="B110" s="443"/>
      <c r="C110" s="229" t="str">
        <f>INDEX(hiredate2_period1,MATCH(Grid!$K$1,Grid2!$D$2:$D$13))</f>
        <v>July - September</v>
      </c>
      <c r="D110" s="229" t="str" cm="1">
        <f t="array" ref="D110">INDEX(Grid2!$W$27:$W$350,MATCH($B$8&amp;$C$102,Grid2!$U$27:$U$350&amp;Grid2!$V$27:$V$350,0))</f>
        <v>FY28E</v>
      </c>
      <c r="E110" s="229">
        <f>VLOOKUP(C110,Grid2!$I$2:$J$13,2,FALSE)</f>
        <v>3</v>
      </c>
      <c r="F110" s="246" cm="1">
        <f t="array" ref="F110">INDEX(hiredate2_salary,MATCH($D$109&amp;D110,exp_level_hire_date_2&amp;hiredate2_FY,0))</f>
        <v>7358.75</v>
      </c>
      <c r="G110" s="215">
        <f>Year1!G110</f>
        <v>1</v>
      </c>
      <c r="H110" s="11">
        <f>ROUND(B109*E110*F110*G110,0)</f>
        <v>0</v>
      </c>
    </row>
    <row r="111" spans="1:8" x14ac:dyDescent="0.2">
      <c r="B111" s="443"/>
      <c r="C111" s="229" t="str">
        <f>INDEX(Hiredate2_period2,MATCH(Grid!$K$1,Grid2!$D$2:$D$13))</f>
        <v>October - March</v>
      </c>
      <c r="D111" s="229" t="str" cm="1">
        <f t="array" ref="D111">INDEX(Grid2!$W$27:$W$350,MATCH($B$8&amp;$C$103,Grid2!$U$27:$U$350&amp;Grid2!$V$27:$V$350,0))</f>
        <v>FY29R</v>
      </c>
      <c r="E111" s="229">
        <f>VLOOKUP(C111,Grid2!$K$2:$L$13,2,FALSE)</f>
        <v>6</v>
      </c>
      <c r="F111" s="246" cm="1">
        <f t="array" ref="F111">INDEX(hiredate2_salary,MATCH($D$109&amp;D111,exp_level_hire_date_2&amp;hiredate2_FY,0))</f>
        <v>7579.51</v>
      </c>
      <c r="G111" s="215">
        <f>Year1!G111</f>
        <v>1</v>
      </c>
      <c r="H111" s="11">
        <f>ROUND(B109*E111*F111*G111,0)</f>
        <v>0</v>
      </c>
    </row>
    <row r="112" spans="1:8" x14ac:dyDescent="0.2">
      <c r="B112" s="443"/>
      <c r="C112" s="229" t="str">
        <f>INDEX(hiredate2_period3,MATCH(Grid!$K$1,Grid2!$D$2:$D$13))</f>
        <v>April - June</v>
      </c>
      <c r="D112" s="229" t="str" cm="1">
        <f t="array" ref="D112">INDEX(Grid2!$W$27:$W$350,MATCH($B$8&amp;$C$104,Grid2!$U$27:$U$350&amp;Grid2!$V$27:$V$350,0))</f>
        <v>FY29E</v>
      </c>
      <c r="E112" s="229">
        <f>VLOOKUP(C112,Grid2!$M$2:$N$13,2,FALSE)</f>
        <v>3</v>
      </c>
      <c r="F112" s="246" cm="1">
        <f t="array" ref="F112">INDEX(hiredate2_salary,MATCH(($D$109+1)&amp;D112,exp_level_hire_date_2&amp;hiredate2_FY,0))</f>
        <v>7579.51</v>
      </c>
      <c r="G112" s="215">
        <f>Year1!G112</f>
        <v>1</v>
      </c>
      <c r="H112" s="11">
        <f>ROUND(B109*E112*F112*G112,0)</f>
        <v>0</v>
      </c>
    </row>
    <row r="113" spans="2:8" x14ac:dyDescent="0.2">
      <c r="B113" s="443">
        <f>Year1!B113</f>
        <v>0</v>
      </c>
      <c r="C113" s="6" t="s">
        <v>22</v>
      </c>
      <c r="D113" s="242">
        <f>IF(Year2!D113=Blank,"Blank",Year2!D113+1)</f>
        <v>6</v>
      </c>
      <c r="E113" s="458">
        <f>IF(D113=Blank,"Blank",D113+1)</f>
        <v>7</v>
      </c>
      <c r="F113" s="460"/>
      <c r="G113" s="41"/>
      <c r="H113" s="11"/>
    </row>
    <row r="114" spans="2:8" x14ac:dyDescent="0.2">
      <c r="B114" s="443"/>
      <c r="C114" s="229" t="str">
        <f>INDEX(hiredate2_period1,MATCH(Grid!$K$1,Grid2!$D$2:$D$13))</f>
        <v>July - September</v>
      </c>
      <c r="D114" s="229" t="str" cm="1">
        <f t="array" ref="D114">INDEX(Grid2!$W$27:$W$350,MATCH($B$8&amp;$C$102,Grid2!$U$27:$U$350&amp;Grid2!$V$27:$V$350,0))</f>
        <v>FY28E</v>
      </c>
      <c r="E114" s="229">
        <f>VLOOKUP(C114,Grid2!$I$2:$J$13,2,FALSE)</f>
        <v>3</v>
      </c>
      <c r="F114" s="246" cm="1">
        <f t="array" ref="F114">INDEX(hiredate2_salary,MATCH($D$113&amp;D114,exp_level_hire_date_2&amp;hiredate2_FY,0))</f>
        <v>7358.75</v>
      </c>
      <c r="G114" s="215">
        <f>Year1!G114</f>
        <v>1</v>
      </c>
      <c r="H114" s="11">
        <f>ROUND(B113*E114*F114*G114,0)</f>
        <v>0</v>
      </c>
    </row>
    <row r="115" spans="2:8" x14ac:dyDescent="0.2">
      <c r="B115" s="443"/>
      <c r="C115" s="229" t="str">
        <f>INDEX(Hiredate2_period2,MATCH(Grid!$K$1,Grid2!$D$2:$D$13))</f>
        <v>October - March</v>
      </c>
      <c r="D115" s="229" t="str" cm="1">
        <f t="array" ref="D115">INDEX(Grid2!$W$27:$W$350,MATCH($B$8&amp;$C$103,Grid2!$U$27:$U$350&amp;Grid2!$V$27:$V$350,0))</f>
        <v>FY29R</v>
      </c>
      <c r="E115" s="229">
        <f>VLOOKUP(C115,Grid2!$K$2:$L$13,2,FALSE)</f>
        <v>6</v>
      </c>
      <c r="F115" s="246" cm="1">
        <f t="array" ref="F115">INDEX(hiredate2_salary,MATCH($D$113&amp;D115,exp_level_hire_date_2&amp;hiredate2_FY,0))</f>
        <v>7579.51</v>
      </c>
      <c r="G115" s="215">
        <f>Year1!G115</f>
        <v>1</v>
      </c>
      <c r="H115" s="11">
        <f>ROUND(B113*E115*F115*G115,0)</f>
        <v>0</v>
      </c>
    </row>
    <row r="116" spans="2:8" x14ac:dyDescent="0.2">
      <c r="B116" s="443"/>
      <c r="C116" s="229" t="str">
        <f>INDEX(hiredate2_period3,MATCH(Grid!$K$1,Grid2!$D$2:$D$13))</f>
        <v>April - June</v>
      </c>
      <c r="D116" s="229" t="str" cm="1">
        <f t="array" ref="D116">INDEX(Grid2!$W$27:$W$350,MATCH($B$8&amp;$C$104,Grid2!$U$27:$U$350&amp;Grid2!$V$27:$V$350,0))</f>
        <v>FY29E</v>
      </c>
      <c r="E116" s="229">
        <f>VLOOKUP(C116,Grid2!$M$2:$N$13,2,FALSE)</f>
        <v>3</v>
      </c>
      <c r="F116" s="246" cm="1">
        <f t="array" ref="F116">INDEX(hiredate2_salary,MATCH(($D$113+1)&amp;D116,exp_level_hire_date_2&amp;hiredate2_FY,0))</f>
        <v>7579.51</v>
      </c>
      <c r="G116" s="215">
        <f>Year1!G116</f>
        <v>1</v>
      </c>
      <c r="H116" s="11">
        <f>ROUND(B113*E116*F116*G116,0)</f>
        <v>0</v>
      </c>
    </row>
    <row r="117" spans="2:8" x14ac:dyDescent="0.2">
      <c r="B117" s="442"/>
      <c r="C117" s="444" t="s">
        <v>1182</v>
      </c>
      <c r="D117" s="445"/>
      <c r="E117" s="225"/>
      <c r="F117" s="246"/>
      <c r="G117" s="215"/>
      <c r="H117" s="11"/>
    </row>
    <row r="118" spans="2:8" x14ac:dyDescent="0.2">
      <c r="B118" s="442">
        <f>Year1!B118</f>
        <v>0</v>
      </c>
      <c r="C118" s="455" t="s">
        <v>22</v>
      </c>
      <c r="D118" s="456" t="str">
        <f>Year1!D118</f>
        <v>Blank</v>
      </c>
      <c r="E118" s="458" t="str">
        <f>IF(AND(Year1!G118&gt;5996,Year1!G118&lt;6350),5,"Blank")</f>
        <v>Blank</v>
      </c>
      <c r="F118" s="459"/>
      <c r="G118" s="41"/>
      <c r="H118" s="11"/>
    </row>
    <row r="119" spans="2:8" x14ac:dyDescent="0.2">
      <c r="B119" s="442"/>
      <c r="C119" s="229" t="str">
        <f>INDEX(per_1_postdoc,MATCH(Grid!$K$1,Beg_mos_postdoc))</f>
        <v>July - September</v>
      </c>
      <c r="D119" s="229" t="str" cm="1">
        <f t="array" ref="D119">INDEX(FY_postdoc,MATCH($B$8&amp;$C$119,date_postdoc&amp;cal_mos_postdoc,0))</f>
        <v>FY28</v>
      </c>
      <c r="E119" s="229">
        <f>VLOOKUP(C119,Grid2!$I$44:$J$55,2,FALSE)</f>
        <v>3</v>
      </c>
      <c r="F119" s="246" cm="1">
        <f t="array" ref="F119">INDEX(MonthlySalaryPX,MATCH(E118&amp;D119,PXlevel&amp;FYPX,0))</f>
        <v>7535.2814829500003</v>
      </c>
      <c r="G119" s="215">
        <f>Year1!G119</f>
        <v>1</v>
      </c>
      <c r="H119" s="11">
        <f>ROUND(B118*E119*F119*G119,0)</f>
        <v>0</v>
      </c>
    </row>
    <row r="120" spans="2:8" x14ac:dyDescent="0.2">
      <c r="B120" s="442"/>
      <c r="C120" s="229" t="str">
        <f>INDEX(Per_2_postdoc,MATCH(Grid!$K$1,Beg_mos_postdoc))</f>
        <v>October - June</v>
      </c>
      <c r="D120" s="229" t="str" cm="1">
        <f t="array" ref="D120">INDEX(FY_postdoc,MATCH($B$8&amp;$C$120,date_postdoc&amp;cal_mos_postdoc,0))</f>
        <v>FY29</v>
      </c>
      <c r="E120" s="229">
        <f>VLOOKUP(C120,Grid2!$K$44:$L$55,2,FALSE)</f>
        <v>9</v>
      </c>
      <c r="F120" s="246" cm="1">
        <f t="array" ref="F120">INDEX(MonthlySalaryPX,MATCH(E118&amp;D120,PXlevel&amp;FYPX,0))</f>
        <v>7761.3399274385001</v>
      </c>
      <c r="G120" s="215">
        <f>Year1!G120</f>
        <v>1</v>
      </c>
      <c r="H120" s="11">
        <f>ROUND(B118*E120*F120*G120,0)</f>
        <v>0</v>
      </c>
    </row>
    <row r="121" spans="2:8" x14ac:dyDescent="0.2">
      <c r="B121" s="442">
        <f>Year1!B121</f>
        <v>0</v>
      </c>
      <c r="C121" s="455" t="s">
        <v>22</v>
      </c>
      <c r="D121" s="456" t="str">
        <f>Year1!D121</f>
        <v>Blank</v>
      </c>
      <c r="E121" s="458" t="str">
        <f>IF(AND(Year1!G121&gt;5996,Year1!G121&lt;6350),5,"Blank")</f>
        <v>Blank</v>
      </c>
      <c r="F121" s="459"/>
      <c r="G121" s="41"/>
      <c r="H121" s="11"/>
    </row>
    <row r="122" spans="2:8" x14ac:dyDescent="0.2">
      <c r="B122" s="442"/>
      <c r="C122" s="229" t="str">
        <f>INDEX(per_1_postdoc,MATCH(Grid!$K$1,Beg_mos_postdoc))</f>
        <v>July - September</v>
      </c>
      <c r="D122" s="229" t="str" cm="1">
        <f t="array" ref="D122">INDEX(FY_postdoc,MATCH($B$8&amp;$C$119,date_postdoc&amp;cal_mos_postdoc,0))</f>
        <v>FY28</v>
      </c>
      <c r="E122" s="229">
        <f>VLOOKUP(C122,Grid2!$I$44:$J$55,2,FALSE)</f>
        <v>3</v>
      </c>
      <c r="F122" s="246" cm="1">
        <f t="array" ref="F122">INDEX(PX_salary2,MATCH(E121&amp;D122,exp_level_2&amp;PXFY2,0))</f>
        <v>8114.9185201</v>
      </c>
      <c r="G122" s="215">
        <f>Year1!G122</f>
        <v>1</v>
      </c>
      <c r="H122" s="11">
        <f>ROUND(B121*E122*F122*G122,0)</f>
        <v>0</v>
      </c>
    </row>
    <row r="123" spans="2:8" x14ac:dyDescent="0.2">
      <c r="B123" s="442"/>
      <c r="C123" s="229" t="str">
        <f>INDEX(Per_2_postdoc,MATCH(Grid!$K$1,Beg_mos_postdoc))</f>
        <v>October - June</v>
      </c>
      <c r="D123" s="229" t="str" cm="1">
        <f t="array" ref="D123">INDEX(FY_postdoc,MATCH($B$8&amp;$C$120,date_postdoc&amp;cal_mos_postdoc,0))</f>
        <v>FY29</v>
      </c>
      <c r="E123" s="229">
        <f>VLOOKUP(C123,Grid2!$K$44:$L$55,2,FALSE)</f>
        <v>9</v>
      </c>
      <c r="F123" s="246" cm="1">
        <f t="array" ref="F123">INDEX(PX_salary2,MATCH(E121&amp;D123,exp_level_2&amp;PXFY2,0))</f>
        <v>8358.3660757030011</v>
      </c>
      <c r="G123" s="215">
        <f>Year1!G123</f>
        <v>1</v>
      </c>
      <c r="H123" s="11">
        <f>ROUND(B121*E123*F123*G123,0)</f>
        <v>0</v>
      </c>
    </row>
    <row r="124" spans="2:8" x14ac:dyDescent="0.2">
      <c r="B124" s="442">
        <f>Year1!B124</f>
        <v>0</v>
      </c>
      <c r="C124" s="455" t="s">
        <v>22</v>
      </c>
      <c r="D124" s="456" t="str">
        <f>Year1!D124</f>
        <v>Blank</v>
      </c>
      <c r="E124" s="458" t="str">
        <f>IF(AND(Year1!G124&gt;5996,Year1!G124&lt;6350),5,"Blank")</f>
        <v>Blank</v>
      </c>
      <c r="F124" s="459"/>
      <c r="G124" s="41"/>
      <c r="H124" s="11"/>
    </row>
    <row r="125" spans="2:8" x14ac:dyDescent="0.2">
      <c r="B125" s="442"/>
      <c r="C125" s="229" t="str">
        <f>INDEX(per_1_postdoc,MATCH(Grid!$K$1,Beg_mos_postdoc))</f>
        <v>July - September</v>
      </c>
      <c r="D125" s="229" t="str" cm="1">
        <f t="array" ref="D125">INDEX(FY_postdoc,MATCH($B$8&amp;$C$119,date_postdoc&amp;cal_mos_postdoc,0))</f>
        <v>FY28</v>
      </c>
      <c r="E125" s="229">
        <f>VLOOKUP(C125,Grid2!$I$44:$J$55,2,FALSE)</f>
        <v>3</v>
      </c>
      <c r="F125" s="246" cm="1">
        <f t="array" ref="F125">INDEX(PX_salary3,MATCH(E124&amp;D125,exp_level_3&amp;PXFY3,0))</f>
        <v>8346.7733349600021</v>
      </c>
      <c r="G125" s="215">
        <f>Year1!G125</f>
        <v>1</v>
      </c>
      <c r="H125" s="11">
        <f>ROUND(B124*E125*F125*G125,0)</f>
        <v>0</v>
      </c>
    </row>
    <row r="126" spans="2:8" x14ac:dyDescent="0.2">
      <c r="B126" s="442"/>
      <c r="C126" s="229" t="str">
        <f>INDEX(Per_2_postdoc,MATCH(Grid!$K$1,Beg_mos_postdoc))</f>
        <v>October - June</v>
      </c>
      <c r="D126" s="229" t="str" cm="1">
        <f t="array" ref="D126">INDEX(FY_postdoc,MATCH($B$8&amp;$C$120,date_postdoc&amp;cal_mos_postdoc,0))</f>
        <v>FY29</v>
      </c>
      <c r="E126" s="229">
        <f>VLOOKUP(C126,Grid2!$K$44:$L$55,2,FALSE)</f>
        <v>9</v>
      </c>
      <c r="F126" s="246" cm="1">
        <f t="array" ref="F126">INDEX(PX_salary3,MATCH(E124&amp;D126,exp_level_3&amp;PXFY3,0))</f>
        <v>8597.1765350088026</v>
      </c>
      <c r="G126" s="215">
        <f>Year1!G126</f>
        <v>1</v>
      </c>
      <c r="H126" s="11">
        <f>ROUND(B124*E126*F126*G126,0)</f>
        <v>0</v>
      </c>
    </row>
    <row r="127" spans="2:8" x14ac:dyDescent="0.2">
      <c r="B127" s="442">
        <f>Year1!B127</f>
        <v>0</v>
      </c>
      <c r="C127" s="6" t="s">
        <v>22</v>
      </c>
      <c r="D127" s="242">
        <f>IF(Year2!D127=Blank,"Blank",Year2!D127+1)</f>
        <v>6</v>
      </c>
      <c r="E127" s="458">
        <f>IF(D127=Blank,"Blank",D127+1)</f>
        <v>7</v>
      </c>
      <c r="F127" s="460"/>
      <c r="G127" s="41"/>
      <c r="H127" s="11"/>
    </row>
    <row r="128" spans="2:8" x14ac:dyDescent="0.2">
      <c r="B128" s="442"/>
      <c r="C128" s="229" t="str">
        <f>INDEX(per_1_postdoc,MATCH(Grid!$K$1,Beg_mos_postdoc))</f>
        <v>July - September</v>
      </c>
      <c r="D128" s="229" t="str" cm="1">
        <f t="array" ref="D128">INDEX(FY_postdoc,MATCH($B$8&amp;$C$119,date_postdoc&amp;cal_mos_postdoc,0))</f>
        <v>FY28</v>
      </c>
      <c r="E128" s="229">
        <f>VLOOKUP(C128,Grid2!$I$44:$J$55,2,FALSE)</f>
        <v>3</v>
      </c>
      <c r="F128" s="246" cm="1">
        <f t="array" ref="F128">INDEX(MonthlySalaryPX,MATCH(D127&amp;D128,PXlevel&amp;FYPX,0))</f>
        <v>7358.75</v>
      </c>
      <c r="G128" s="215">
        <f>Year1!G128</f>
        <v>1</v>
      </c>
      <c r="H128" s="11">
        <f>ROUND(B127*E128*F128*G128,0)</f>
        <v>0</v>
      </c>
    </row>
    <row r="129" spans="2:8" x14ac:dyDescent="0.2">
      <c r="B129" s="442"/>
      <c r="C129" s="229" t="str">
        <f>INDEX(Per_2_postdoc,MATCH(Grid!$K$1,Beg_mos_postdoc))</f>
        <v>October - June</v>
      </c>
      <c r="D129" s="229" t="str" cm="1">
        <f t="array" ref="D129">INDEX(FY_postdoc,MATCH($B$8&amp;$C$120,date_postdoc&amp;cal_mos_postdoc,0))</f>
        <v>FY29</v>
      </c>
      <c r="E129" s="229">
        <f>VLOOKUP(C129,Grid2!K$44:$L$55,2,FALSE)</f>
        <v>9</v>
      </c>
      <c r="F129" s="246" cm="1">
        <f t="array" ref="F129">INDEX(MonthlySalaryPX,MATCH(E127&amp;D129,PXlevel&amp;FYPX,0))</f>
        <v>7579.5124999999998</v>
      </c>
      <c r="G129" s="215">
        <f>Year1!G129</f>
        <v>1</v>
      </c>
      <c r="H129" s="11">
        <f>ROUND(B127*E129*F129*G129,0)</f>
        <v>0</v>
      </c>
    </row>
    <row r="130" spans="2:8" x14ac:dyDescent="0.2">
      <c r="B130" s="442">
        <f>Year1!B130</f>
        <v>0</v>
      </c>
      <c r="C130" s="6" t="s">
        <v>22</v>
      </c>
      <c r="D130" s="242">
        <f>IF(Year2!D130=Blank,"Blank",Year2!D130+1)</f>
        <v>7</v>
      </c>
      <c r="E130" s="458">
        <f>IF(D130=Blank,"Blank",D130+1)</f>
        <v>8</v>
      </c>
      <c r="F130" s="460"/>
      <c r="G130" s="41"/>
      <c r="H130" s="11"/>
    </row>
    <row r="131" spans="2:8" x14ac:dyDescent="0.2">
      <c r="B131" s="442"/>
      <c r="C131" s="229" t="str">
        <f>INDEX(per_1_postdoc,MATCH(Grid!$K$1,Beg_mos_postdoc))</f>
        <v>July - September</v>
      </c>
      <c r="D131" s="229" t="str" cm="1">
        <f t="array" ref="D131">INDEX(FY_postdoc,MATCH($B$8&amp;$C$119,date_postdoc&amp;cal_mos_postdoc,0))</f>
        <v>FY28</v>
      </c>
      <c r="E131" s="229">
        <f>VLOOKUP(C131,Grid2!$I$44:$J$55,2,FALSE)</f>
        <v>3</v>
      </c>
      <c r="F131" s="246" cm="1">
        <f t="array" ref="F131">INDEX(MonthlySalaryPX,MATCH(D130&amp;D131,PXlevel&amp;FYPX,0))</f>
        <v>7358.75</v>
      </c>
      <c r="G131" s="215">
        <f>Year1!G131</f>
        <v>1</v>
      </c>
      <c r="H131" s="11">
        <f>ROUND(B130*E131*F131*G131,0)</f>
        <v>0</v>
      </c>
    </row>
    <row r="132" spans="2:8" x14ac:dyDescent="0.2">
      <c r="B132" s="442"/>
      <c r="C132" s="229" t="str">
        <f>INDEX(Per_2_postdoc,MATCH(Grid!$K$1,Beg_mos_postdoc))</f>
        <v>October - June</v>
      </c>
      <c r="D132" s="229" t="str" cm="1">
        <f t="array" ref="D132">INDEX(FY_postdoc,MATCH($B$8&amp;$C$120,date_postdoc&amp;cal_mos_postdoc,0))</f>
        <v>FY29</v>
      </c>
      <c r="E132" s="229">
        <f>VLOOKUP(C132,Grid2!$K$44:$L$55,2,FALSE)</f>
        <v>9</v>
      </c>
      <c r="F132" s="246" cm="1">
        <f t="array" ref="F132">INDEX(MonthlySalaryPX,MATCH(E130&amp;D132,PXlevel&amp;FYPX,0))</f>
        <v>7579.5124999999998</v>
      </c>
      <c r="G132" s="215">
        <f>Year1!G132</f>
        <v>1</v>
      </c>
      <c r="H132" s="11">
        <f>ROUND(B130*E132*F132*G132,0)</f>
        <v>0</v>
      </c>
    </row>
    <row r="133" spans="2:8" x14ac:dyDescent="0.2">
      <c r="B133" s="442">
        <f>Year1!B133</f>
        <v>0</v>
      </c>
      <c r="C133" s="6" t="s">
        <v>22</v>
      </c>
      <c r="D133" s="242">
        <f>IF(Year2!D133=Blank,"Blank",Year2!D133+1)</f>
        <v>7</v>
      </c>
      <c r="E133" s="458">
        <f>IF(D133=Blank,"Blank",D133+1)</f>
        <v>8</v>
      </c>
      <c r="F133" s="460"/>
      <c r="G133" s="41"/>
      <c r="H133" s="11"/>
    </row>
    <row r="134" spans="2:8" x14ac:dyDescent="0.2">
      <c r="B134" s="442"/>
      <c r="C134" s="229" t="str">
        <f>INDEX(per_1_postdoc,MATCH(Grid!$K$1,Beg_mos_postdoc))</f>
        <v>July - September</v>
      </c>
      <c r="D134" s="229" t="str" cm="1">
        <f t="array" ref="D134">INDEX(FY_postdoc,MATCH($B$8&amp;$C$119,date_postdoc&amp;cal_mos_postdoc,0))</f>
        <v>FY28</v>
      </c>
      <c r="E134" s="229">
        <f>VLOOKUP(C134,Grid2!$I$44:$J$55,2,FALSE)</f>
        <v>3</v>
      </c>
      <c r="F134" s="246" cm="1">
        <f t="array" ref="F134">INDEX(MonthlySalaryPX,MATCH(D133&amp;D134,PXlevel&amp;FYPX,0))</f>
        <v>7358.75</v>
      </c>
      <c r="G134" s="215">
        <f>Year1!G134</f>
        <v>1</v>
      </c>
      <c r="H134" s="11">
        <f>ROUND(B133*E134*F134*G134,0)</f>
        <v>0</v>
      </c>
    </row>
    <row r="135" spans="2:8" x14ac:dyDescent="0.2">
      <c r="B135" s="442"/>
      <c r="C135" s="229" t="str">
        <f>INDEX(Per_2_postdoc,MATCH(Grid!$K$1,Beg_mos_postdoc))</f>
        <v>October - June</v>
      </c>
      <c r="D135" s="229" t="str" cm="1">
        <f t="array" ref="D135">INDEX(FY_postdoc,MATCH($B$8&amp;$C$120,date_postdoc&amp;cal_mos_postdoc,0))</f>
        <v>FY29</v>
      </c>
      <c r="E135" s="229">
        <f>VLOOKUP(C135,Grid2!$K$44:$L$55,2,FALSE)</f>
        <v>9</v>
      </c>
      <c r="F135" s="246" cm="1">
        <f t="array" ref="F135">INDEX(MonthlySalaryPX,MATCH(E133&amp;D135,PXlevel&amp;FYPX,0))</f>
        <v>7579.5124999999998</v>
      </c>
      <c r="G135" s="215">
        <f>Year1!G135</f>
        <v>1</v>
      </c>
      <c r="H135" s="11">
        <f>ROUND(B133*E135*F135*G135,0)</f>
        <v>0</v>
      </c>
    </row>
    <row r="136" spans="2:8" x14ac:dyDescent="0.2">
      <c r="B136" s="442">
        <f>Year1!B136</f>
        <v>0</v>
      </c>
      <c r="C136" s="6" t="s">
        <v>22</v>
      </c>
      <c r="D136" s="242">
        <f>IF(Year2!D136=Blank,"Blank",Year2!D136+1)</f>
        <v>7</v>
      </c>
      <c r="E136" s="458">
        <f>IF(D136=Blank,"Blank",D136+1)</f>
        <v>8</v>
      </c>
      <c r="F136" s="460"/>
      <c r="G136" s="41"/>
      <c r="H136" s="11"/>
    </row>
    <row r="137" spans="2:8" x14ac:dyDescent="0.2">
      <c r="B137" s="442"/>
      <c r="C137" s="229" t="str">
        <f>INDEX(per_1_postdoc,MATCH(Grid!$K$1,Beg_mos_postdoc))</f>
        <v>July - September</v>
      </c>
      <c r="D137" s="229" t="str" cm="1">
        <f t="array" ref="D137">INDEX(FY_postdoc,MATCH($B$8&amp;$C$119,date_postdoc&amp;cal_mos_postdoc,0))</f>
        <v>FY28</v>
      </c>
      <c r="E137" s="229">
        <f>VLOOKUP(C137,Grid2!$I$44:$J$55,2,FALSE)</f>
        <v>3</v>
      </c>
      <c r="F137" s="246" cm="1">
        <f t="array" ref="F137">INDEX(MonthlySalaryPX,MATCH(D136&amp;D137,PXlevel&amp;FYPX,0))</f>
        <v>7358.75</v>
      </c>
      <c r="G137" s="215">
        <f>Year1!G137</f>
        <v>1</v>
      </c>
      <c r="H137" s="11">
        <f>ROUND(B136*E137*F137*G137,0)</f>
        <v>0</v>
      </c>
    </row>
    <row r="138" spans="2:8" x14ac:dyDescent="0.2">
      <c r="B138" s="442"/>
      <c r="C138" s="229" t="str">
        <f>INDEX(Per_2_postdoc,MATCH(Grid!$K$1,Beg_mos_postdoc))</f>
        <v>October - June</v>
      </c>
      <c r="D138" s="229" t="str" cm="1">
        <f t="array" ref="D138">INDEX(FY_postdoc,MATCH($B$8&amp;$C$120,date_postdoc&amp;cal_mos_postdoc,0))</f>
        <v>FY29</v>
      </c>
      <c r="E138" s="229">
        <f>VLOOKUP(C138,Grid2!$K$44:$L$55,2,FALSE)</f>
        <v>9</v>
      </c>
      <c r="F138" s="246" cm="1">
        <f t="array" ref="F138">INDEX(MonthlySalaryPX,MATCH(E136&amp;D138,PXlevel&amp;FYPX,0))</f>
        <v>7579.5124999999998</v>
      </c>
      <c r="G138" s="215">
        <f>Year1!G138</f>
        <v>1</v>
      </c>
      <c r="H138" s="11">
        <f>ROUND(B136*E138*F138*G138,0)</f>
        <v>0</v>
      </c>
    </row>
    <row r="139" spans="2:8" x14ac:dyDescent="0.2">
      <c r="B139" s="442">
        <f>Year1!B139</f>
        <v>0</v>
      </c>
      <c r="C139" s="6" t="s">
        <v>22</v>
      </c>
      <c r="D139" s="242">
        <f>IF(Year2!D139=Blank,"Blank",Year2!D139+1)</f>
        <v>7</v>
      </c>
      <c r="E139" s="458">
        <f>IF(D139=Blank,"Blank",D139+1)</f>
        <v>8</v>
      </c>
      <c r="F139" s="460"/>
      <c r="G139" s="41"/>
      <c r="H139" s="11"/>
    </row>
    <row r="140" spans="2:8" x14ac:dyDescent="0.2">
      <c r="B140" s="442"/>
      <c r="C140" s="229" t="str">
        <f>INDEX(per_1_postdoc,MATCH(Grid!$K$1,Beg_mos_postdoc))</f>
        <v>July - September</v>
      </c>
      <c r="D140" s="229" t="str" cm="1">
        <f t="array" ref="D140">INDEX(FY_postdoc,MATCH($B$8&amp;$C$119,date_postdoc&amp;cal_mos_postdoc,0))</f>
        <v>FY28</v>
      </c>
      <c r="E140" s="229">
        <f>VLOOKUP(C140,Grid2!$I$44:$J$55,2,FALSE)</f>
        <v>3</v>
      </c>
      <c r="F140" s="246" cm="1">
        <f t="array" ref="F140">INDEX(MonthlySalaryPX,MATCH(D139&amp;D140,PXlevel&amp;FYPX,0))</f>
        <v>7358.75</v>
      </c>
      <c r="G140" s="215">
        <f>Year1!G140</f>
        <v>1</v>
      </c>
      <c r="H140" s="11">
        <f>ROUND(B139*E140*F140*G140,0)</f>
        <v>0</v>
      </c>
    </row>
    <row r="141" spans="2:8" x14ac:dyDescent="0.2">
      <c r="B141" s="442"/>
      <c r="C141" s="229" t="str">
        <f>INDEX(Per_2_postdoc,MATCH(Grid!$K$1,Beg_mos_postdoc))</f>
        <v>October - June</v>
      </c>
      <c r="D141" s="229" t="str" cm="1">
        <f t="array" ref="D141">INDEX(FY_postdoc,MATCH($B$8&amp;$C$120,date_postdoc&amp;cal_mos_postdoc,0))</f>
        <v>FY29</v>
      </c>
      <c r="E141" s="229">
        <f>VLOOKUP(C141,Grid2!$K$44:$L$55,2,FALSE)</f>
        <v>9</v>
      </c>
      <c r="F141" s="246" cm="1">
        <f t="array" ref="F141">INDEX(MonthlySalaryPX,MATCH(E139&amp;D141,PXlevel&amp;FYPX,0))</f>
        <v>7579.5124999999998</v>
      </c>
      <c r="G141" s="215">
        <f>Year1!G141</f>
        <v>1</v>
      </c>
      <c r="H141" s="11">
        <f>ROUND(B139*E141*F141*G141,0)</f>
        <v>0</v>
      </c>
    </row>
    <row r="142" spans="2:8" x14ac:dyDescent="0.2">
      <c r="B142" s="442">
        <f>Year1!B142</f>
        <v>0</v>
      </c>
      <c r="C142" s="6" t="s">
        <v>22</v>
      </c>
      <c r="D142" s="242">
        <f>IF(Year2!D142=Blank,"Blank",Year2!D142+1)</f>
        <v>7</v>
      </c>
      <c r="E142" s="458">
        <f>IF(D142=Blank,"Blank",D142+1)</f>
        <v>8</v>
      </c>
      <c r="F142" s="460"/>
      <c r="G142" s="41"/>
      <c r="H142" s="11"/>
    </row>
    <row r="143" spans="2:8" x14ac:dyDescent="0.2">
      <c r="B143" s="442"/>
      <c r="C143" s="229" t="str">
        <f>INDEX(per_1_postdoc,MATCH(Grid!$K$1,Beg_mos_postdoc))</f>
        <v>July - September</v>
      </c>
      <c r="D143" s="229" t="str" cm="1">
        <f t="array" ref="D143">INDEX(FY_postdoc,MATCH($B$8&amp;$C$119,date_postdoc&amp;cal_mos_postdoc,0))</f>
        <v>FY28</v>
      </c>
      <c r="E143" s="229">
        <f>VLOOKUP(C143,Grid2!$I$44:$J$55,2,FALSE)</f>
        <v>3</v>
      </c>
      <c r="F143" s="246" cm="1">
        <f t="array" ref="F143">INDEX(MonthlySalaryPX,MATCH(D142&amp;D143,PXlevel&amp;FYPX,0))</f>
        <v>7358.75</v>
      </c>
      <c r="G143" s="215">
        <f>Year1!G143</f>
        <v>1</v>
      </c>
      <c r="H143" s="11">
        <f>ROUND(B142*E143*F143*G143,0)</f>
        <v>0</v>
      </c>
    </row>
    <row r="144" spans="2:8" x14ac:dyDescent="0.2">
      <c r="B144" s="442"/>
      <c r="C144" s="229" t="str">
        <f>INDEX(Per_2_postdoc,MATCH(Grid!$K$1,Beg_mos_postdoc))</f>
        <v>October - June</v>
      </c>
      <c r="D144" s="229" t="str" cm="1">
        <f t="array" ref="D144">INDEX(FY_postdoc,MATCH($B$8&amp;$C$120,date_postdoc&amp;cal_mos_postdoc,0))</f>
        <v>FY29</v>
      </c>
      <c r="E144" s="229">
        <f>VLOOKUP(C144,Grid2!$K$44:$L$55,2,FALSE)</f>
        <v>9</v>
      </c>
      <c r="F144" s="246" cm="1">
        <f t="array" ref="F144">INDEX(MonthlySalaryPX,MATCH(E142&amp;D144,PXlevel&amp;FYPX,0))</f>
        <v>7579.5124999999998</v>
      </c>
      <c r="G144" s="215">
        <f>Year1!G144</f>
        <v>1</v>
      </c>
      <c r="H144" s="11">
        <f>ROUND(B142*E144*F144*G144,0)</f>
        <v>0</v>
      </c>
    </row>
    <row r="145" spans="1:8" x14ac:dyDescent="0.2">
      <c r="B145" s="442">
        <f>Year1!B145</f>
        <v>0</v>
      </c>
      <c r="C145" s="6" t="s">
        <v>22</v>
      </c>
      <c r="D145" s="242">
        <f>IF(Year2!D145=Blank,"Blank",Year2!D145+1)</f>
        <v>7</v>
      </c>
      <c r="E145" s="458">
        <f>IF(D145=Blank,"Blank",D145+1)</f>
        <v>8</v>
      </c>
      <c r="F145" s="460"/>
      <c r="G145" s="41"/>
      <c r="H145" s="11"/>
    </row>
    <row r="146" spans="1:8" x14ac:dyDescent="0.2">
      <c r="B146" s="442"/>
      <c r="C146" s="229" t="str">
        <f>INDEX(per_1_postdoc,MATCH(Grid!$K$1,Beg_mos_postdoc))</f>
        <v>July - September</v>
      </c>
      <c r="D146" s="229" t="str" cm="1">
        <f t="array" ref="D146">INDEX(FY_postdoc,MATCH($B$8&amp;$C$119,date_postdoc&amp;cal_mos_postdoc,0))</f>
        <v>FY28</v>
      </c>
      <c r="E146" s="229">
        <f>VLOOKUP(C146,Grid2!$I$44:$J$55,2,FALSE)</f>
        <v>3</v>
      </c>
      <c r="F146" s="246" cm="1">
        <f t="array" ref="F146">INDEX(MonthlySalaryPX,MATCH(D145&amp;D146,PXlevel&amp;FYPX,0))</f>
        <v>7358.75</v>
      </c>
      <c r="G146" s="215">
        <f>Year1!G146</f>
        <v>1</v>
      </c>
      <c r="H146" s="11">
        <f>ROUND(B145*E146*F146*G146,0)</f>
        <v>0</v>
      </c>
    </row>
    <row r="147" spans="1:8" x14ac:dyDescent="0.2">
      <c r="B147" s="442"/>
      <c r="C147" s="229" t="str">
        <f>INDEX(Per_2_postdoc,MATCH(Grid!$K$1,Beg_mos_postdoc))</f>
        <v>October - June</v>
      </c>
      <c r="D147" s="229" t="str" cm="1">
        <f t="array" ref="D147">INDEX(FY_postdoc,MATCH($B$8&amp;$C$120,date_postdoc&amp;cal_mos_postdoc,0))</f>
        <v>FY29</v>
      </c>
      <c r="E147" s="229">
        <f>VLOOKUP(C147,Grid2!$K$44:$L$55,2,FALSE)</f>
        <v>9</v>
      </c>
      <c r="F147" s="246" cm="1">
        <f t="array" ref="F147">INDEX(MonthlySalaryPX,MATCH(E145&amp;D147,PXlevel&amp;FYPX,0))</f>
        <v>7579.5124999999998</v>
      </c>
      <c r="G147" s="215">
        <f>Year1!G147</f>
        <v>1</v>
      </c>
      <c r="H147" s="11">
        <f>ROUND(B145*E147*F147*G147,0)</f>
        <v>0</v>
      </c>
    </row>
    <row r="148" spans="1:8" ht="13.5" thickBot="1" x14ac:dyDescent="0.25">
      <c r="C148" s="13" t="s">
        <v>133</v>
      </c>
      <c r="D148" s="427" t="s">
        <v>1127</v>
      </c>
      <c r="E148" s="224"/>
      <c r="F148" s="297">
        <f>H147+H146+H144+H143+H141+H140+H138+H137+H135+H134+H132+H131+H129+H128+H120+H119+H116+H115+H114+H112+H111+H110+H108+H107+H106+H104+H103+H102+H122+H123+H125+H126</f>
        <v>0</v>
      </c>
      <c r="G148" s="8" t="s">
        <v>9</v>
      </c>
      <c r="H148" s="21">
        <f>IF(Year1!H8=1,0,IF(Year1!H8=2,0,SUM(H84:H147)))</f>
        <v>0</v>
      </c>
    </row>
    <row r="149" spans="1:8" ht="13.5" thickBot="1" x14ac:dyDescent="0.25">
      <c r="A149" s="292" t="s">
        <v>15</v>
      </c>
      <c r="B149" s="234"/>
      <c r="C149" s="234"/>
      <c r="D149" s="234"/>
      <c r="E149" s="234"/>
      <c r="F149" s="234"/>
      <c r="G149" s="234"/>
      <c r="H149" s="293">
        <f>H148+H81+H23</f>
        <v>0</v>
      </c>
    </row>
    <row r="150" spans="1:8" x14ac:dyDescent="0.2">
      <c r="A150" s="3" t="s">
        <v>16</v>
      </c>
      <c r="B150" s="2"/>
      <c r="C150" s="2"/>
      <c r="D150" s="2"/>
      <c r="E150" s="2"/>
      <c r="F150" s="2"/>
      <c r="G150" s="14" t="s">
        <v>20</v>
      </c>
      <c r="H150" s="121" t="s">
        <v>8</v>
      </c>
    </row>
    <row r="151" spans="1:8" x14ac:dyDescent="0.2">
      <c r="A151" s="5"/>
      <c r="B151" s="6" t="s">
        <v>19</v>
      </c>
      <c r="C151" s="6"/>
      <c r="D151" s="6"/>
      <c r="E151" s="6"/>
      <c r="F151" s="262" t="s">
        <v>543</v>
      </c>
      <c r="G151" s="23">
        <f>LOOKUP($B$8,Grid!$E$331:$E$414,Grid!$H$331:$H$414)</f>
        <v>0.153</v>
      </c>
      <c r="H151" s="11">
        <f>(SUMIF($B$12:$B$22,"Academic",$H$12:$H$22)*$G$151)</f>
        <v>0</v>
      </c>
    </row>
    <row r="152" spans="1:8" x14ac:dyDescent="0.2">
      <c r="A152" s="5"/>
      <c r="B152" s="6"/>
      <c r="C152" s="6"/>
      <c r="D152" s="6"/>
      <c r="E152" s="6"/>
      <c r="F152" s="262" t="s">
        <v>1185</v>
      </c>
      <c r="G152" s="23">
        <f>LOOKUP($B$8,Grid!$E$331:$E$414,Grid!$G$331:$G$414)</f>
        <v>0.36799999999999999</v>
      </c>
      <c r="H152" s="11">
        <f>(SUMIF($B$12:$B$22,"Calendar",$H$12:$H$22)*$G$152)</f>
        <v>0</v>
      </c>
    </row>
    <row r="153" spans="1:8" x14ac:dyDescent="0.2">
      <c r="A153" s="5"/>
      <c r="B153" s="6"/>
      <c r="C153" s="6"/>
      <c r="D153" s="6"/>
      <c r="E153" s="6"/>
      <c r="F153" s="262" t="s">
        <v>1184</v>
      </c>
      <c r="G153" s="23">
        <f>LOOKUP($B$8,Grid!$E$331:$E$414,Grid!$I$331:$I$414)</f>
        <v>0.153</v>
      </c>
      <c r="H153" s="11">
        <f>(SUMIF($B$12:$B$22,"Recall",$H$12:$H$22)*$G$153)</f>
        <v>0</v>
      </c>
    </row>
    <row r="154" spans="1:8" x14ac:dyDescent="0.2">
      <c r="A154" s="5"/>
      <c r="B154" s="6"/>
      <c r="C154" s="6"/>
      <c r="D154" s="13" t="s">
        <v>208</v>
      </c>
      <c r="E154" s="60">
        <f>C25+C33+C41+C49+C57+C65+C73</f>
        <v>0</v>
      </c>
      <c r="F154" s="6"/>
      <c r="G154" s="23"/>
      <c r="H154" s="11"/>
    </row>
    <row r="155" spans="1:8" x14ac:dyDescent="0.2">
      <c r="A155" s="5"/>
      <c r="B155" s="6"/>
      <c r="C155" s="15" t="s">
        <v>52</v>
      </c>
      <c r="D155" s="15"/>
      <c r="E155" s="218">
        <f>Year1!E155</f>
        <v>0</v>
      </c>
      <c r="F155" s="22"/>
      <c r="G155" s="24"/>
      <c r="H155" s="25"/>
    </row>
    <row r="156" spans="1:8" x14ac:dyDescent="0.2">
      <c r="A156" s="5"/>
      <c r="B156" s="22"/>
      <c r="C156" s="15" t="s">
        <v>53</v>
      </c>
      <c r="D156" s="15"/>
      <c r="E156" s="218">
        <f>Year1!E156</f>
        <v>0</v>
      </c>
      <c r="F156" s="22"/>
      <c r="G156" s="24"/>
      <c r="H156" s="25"/>
    </row>
    <row r="157" spans="1:8" x14ac:dyDescent="0.2">
      <c r="A157" s="5"/>
      <c r="B157" s="22"/>
      <c r="C157" s="15"/>
      <c r="D157" s="15" t="s">
        <v>550</v>
      </c>
      <c r="E157" s="13"/>
      <c r="F157" s="13" t="s">
        <v>551</v>
      </c>
      <c r="G157" s="24"/>
      <c r="H157" s="25"/>
    </row>
    <row r="158" spans="1:8" x14ac:dyDescent="0.2">
      <c r="A158" s="5"/>
      <c r="B158" s="22" t="s">
        <v>21</v>
      </c>
      <c r="C158" s="22"/>
      <c r="D158" s="425">
        <f>LOOKUP($B$8,Grid!$E$230:$E$325,Grid!$G$230:$G$325)</f>
        <v>3768</v>
      </c>
      <c r="E158" s="113"/>
      <c r="F158" s="425">
        <f>LOOKUP($B$8,Grid!$E$230:$E$325,Grid!$H$230:$H$325)</f>
        <v>3768</v>
      </c>
      <c r="G158" s="26">
        <f>ROUND(D158+F158,0)</f>
        <v>7536</v>
      </c>
      <c r="H158" s="25">
        <f>IF(Year1!H8=1,0,IF(Year1!H8=2,0,(Year3!E155+Year3!E156)*Year3!G158))</f>
        <v>0</v>
      </c>
    </row>
    <row r="159" spans="1:8" x14ac:dyDescent="0.2">
      <c r="A159" s="5"/>
      <c r="B159" s="22" t="s">
        <v>501</v>
      </c>
      <c r="C159" s="22"/>
      <c r="D159" s="425">
        <f>LOOKUP($B$8,Grid!$E$230:$E$325,Grid!$I$230:$I$325)</f>
        <v>9433</v>
      </c>
      <c r="E159" s="113"/>
      <c r="F159" s="425">
        <f>LOOKUP($B$8,Grid!$E$230:$E$325,Grid!$J$230:$J$325)</f>
        <v>9433</v>
      </c>
      <c r="G159" s="26">
        <f>ROUND(D159+F159,0)</f>
        <v>18866</v>
      </c>
      <c r="H159" s="25">
        <f>IF(Year1!H8=1,0,IF(Year1!H8=2,0,Year3!E155*Year3!G159))</f>
        <v>0</v>
      </c>
    </row>
    <row r="160" spans="1:8" x14ac:dyDescent="0.2">
      <c r="A160" s="5"/>
      <c r="B160" s="22" t="s">
        <v>502</v>
      </c>
      <c r="C160" s="22"/>
      <c r="D160" s="425">
        <f>LOOKUP($B$8,Grid!$E$230:$E$325,Grid!$K$230:$K$325)</f>
        <v>9433</v>
      </c>
      <c r="E160" s="113"/>
      <c r="F160" s="425">
        <f>LOOKUP($B$8,Grid!$E$230:$E$325,Grid!$L$230:$L$325)</f>
        <v>9433</v>
      </c>
      <c r="G160" s="26">
        <f>ROUND(D160+F160,0)</f>
        <v>18866</v>
      </c>
      <c r="H160" s="25">
        <f>IF(Year1!H8=1,0,IF(Year1!H8=2,0,Year3!E156*Year3!G160))</f>
        <v>0</v>
      </c>
    </row>
    <row r="161" spans="1:8" x14ac:dyDescent="0.2">
      <c r="A161" s="5"/>
      <c r="B161" s="22" t="s">
        <v>503</v>
      </c>
      <c r="C161" s="22"/>
      <c r="D161" s="425">
        <f>LOOKUP($B$8,Grid!$E$230:$E$325,Grid!$M$230:$M$325)</f>
        <v>8834</v>
      </c>
      <c r="E161" s="113"/>
      <c r="F161" s="425">
        <f>LOOKUP($B$8,Grid!$E$230:$E$325,Grid!$N$230:$N$325)</f>
        <v>8834</v>
      </c>
      <c r="G161" s="26">
        <f>ROUND(D161+F161,0)</f>
        <v>17668</v>
      </c>
      <c r="H161" s="25">
        <f>IF(Year1!H8=1,0,IF(Year1!H8=2,0,Year3!E156*Year3!G161))</f>
        <v>0</v>
      </c>
    </row>
    <row r="162" spans="1:8" x14ac:dyDescent="0.2">
      <c r="A162" s="5"/>
      <c r="B162" s="6" t="s">
        <v>690</v>
      </c>
      <c r="C162" s="6"/>
      <c r="D162" s="6"/>
      <c r="E162" s="430" t="s">
        <v>20</v>
      </c>
      <c r="F162" s="431">
        <f>VLOOKUP(B8,Grid2!F60:G137,2,FALSE)</f>
        <v>7.7000000000000002E-3</v>
      </c>
      <c r="G162" s="246">
        <f>IF(OR(D10="Non-Federal"),(H149-F148-H81-H89-H90-H91)*(F162),H149*0)</f>
        <v>0</v>
      </c>
      <c r="H162" s="11">
        <f>IF(Year1!$H$8=1,0,IF(Year1!$H$8=2,0,G162))</f>
        <v>0</v>
      </c>
    </row>
    <row r="163" spans="1:8" x14ac:dyDescent="0.2">
      <c r="A163" s="5"/>
      <c r="B163" s="6" t="s">
        <v>797</v>
      </c>
      <c r="C163" s="22"/>
      <c r="D163" s="204"/>
      <c r="E163" s="113"/>
      <c r="F163" s="204"/>
      <c r="G163" s="465">
        <f>LOOKUP($B$8,Grid!$E$142:$E$225,Grid!$J$142:$J$225)</f>
        <v>2.3E-2</v>
      </c>
      <c r="H163" s="25">
        <f>ROUND((H89+H81+H90+H91)*G163,0)</f>
        <v>0</v>
      </c>
    </row>
    <row r="164" spans="1:8" x14ac:dyDescent="0.2">
      <c r="A164" s="5"/>
      <c r="B164" s="22" t="s">
        <v>22</v>
      </c>
      <c r="C164" s="22"/>
      <c r="D164" s="22"/>
      <c r="E164" s="22"/>
      <c r="F164" s="22"/>
      <c r="G164" s="465">
        <f>LOOKUP($B$8,Grid!$E$142:$E$225,Grid!$I$142:$I$225)</f>
        <v>0.153</v>
      </c>
      <c r="H164" s="25">
        <f>ROUND((F148)*G164,0)</f>
        <v>0</v>
      </c>
    </row>
    <row r="165" spans="1:8" x14ac:dyDescent="0.2">
      <c r="A165" s="5"/>
      <c r="B165" s="22" t="s">
        <v>514</v>
      </c>
      <c r="C165" s="22"/>
      <c r="D165" s="22"/>
      <c r="E165" s="22"/>
      <c r="F165" s="22"/>
      <c r="G165" s="465">
        <f>LOOKUP($B$8,Grid!$E$142:$E$225,Grid!$G$142:$G$225)</f>
        <v>0.36799999999999999</v>
      </c>
      <c r="H165" s="25">
        <f>ROUND((H84+H85+H87+H88)*G165,0)</f>
        <v>0</v>
      </c>
    </row>
    <row r="166" spans="1:8" x14ac:dyDescent="0.2">
      <c r="A166" s="5"/>
      <c r="B166" s="6" t="s">
        <v>1302</v>
      </c>
      <c r="C166" s="22"/>
      <c r="D166" s="22"/>
      <c r="E166" s="22"/>
      <c r="F166" s="22"/>
      <c r="G166" s="465">
        <f>LOOKUP($B$8,Grid!$E$142:$E$225,Grid!$G$142:$G$225)</f>
        <v>0.36799999999999999</v>
      </c>
      <c r="H166" s="25">
        <f>ROUND((H97+H98)*G166,0)</f>
        <v>0</v>
      </c>
    </row>
    <row r="167" spans="1:8" ht="13.5" thickBot="1" x14ac:dyDescent="0.25">
      <c r="A167" s="5"/>
      <c r="B167" s="22" t="s">
        <v>107</v>
      </c>
      <c r="C167" s="22"/>
      <c r="D167" s="22"/>
      <c r="E167" s="22"/>
      <c r="F167" s="22"/>
      <c r="G167" s="465">
        <f>LOOKUP($B$8,Grid!$E$142:$E$225,Grid!$H$142:$H$225)</f>
        <v>0.44800000000000001</v>
      </c>
      <c r="H167" s="25">
        <f>ROUND(SUM(H92:H96)*G167,0)</f>
        <v>0</v>
      </c>
    </row>
    <row r="168" spans="1:8" ht="13.5" thickBot="1" x14ac:dyDescent="0.25">
      <c r="A168" s="292" t="s">
        <v>135</v>
      </c>
      <c r="B168" s="234"/>
      <c r="C168" s="234"/>
      <c r="D168" s="234"/>
      <c r="E168" s="234"/>
      <c r="F168" s="234"/>
      <c r="G168" s="236"/>
      <c r="H168" s="293">
        <f>IF(Year1!H8=1,0,IF(Year1!H8=2,0,SUM(H151:H167)))</f>
        <v>0</v>
      </c>
    </row>
    <row r="169" spans="1:8" ht="13.5" thickBot="1" x14ac:dyDescent="0.25">
      <c r="A169" s="292" t="s">
        <v>34</v>
      </c>
      <c r="B169" s="234"/>
      <c r="C169" s="234"/>
      <c r="D169" s="234"/>
      <c r="E169" s="234"/>
      <c r="F169" s="234"/>
      <c r="G169" s="234"/>
      <c r="H169" s="293">
        <f>H168+H149</f>
        <v>0</v>
      </c>
    </row>
    <row r="170" spans="1:8" x14ac:dyDescent="0.2">
      <c r="A170" s="224" t="s">
        <v>1</v>
      </c>
      <c r="B170" s="225"/>
      <c r="C170" s="230">
        <f>Year1!C6</f>
        <v>0</v>
      </c>
      <c r="D170" s="230"/>
      <c r="E170" s="230"/>
      <c r="F170" s="230"/>
      <c r="G170" s="230"/>
      <c r="H170" s="238"/>
    </row>
    <row r="171" spans="1:8" x14ac:dyDescent="0.2">
      <c r="A171" s="224" t="s">
        <v>2</v>
      </c>
      <c r="B171" s="239">
        <f>Year1!B7</f>
        <v>0</v>
      </c>
      <c r="C171" s="230"/>
      <c r="D171" s="230"/>
      <c r="E171" s="230"/>
      <c r="F171" s="230"/>
      <c r="G171" s="230"/>
      <c r="H171" s="240"/>
    </row>
    <row r="172" spans="1:8" x14ac:dyDescent="0.2">
      <c r="A172" s="224" t="str">
        <f>A8</f>
        <v>Year 3:</v>
      </c>
      <c r="B172" s="310">
        <f>B8</f>
        <v>46935</v>
      </c>
      <c r="C172" s="228" t="str">
        <f>C8</f>
        <v>through</v>
      </c>
      <c r="D172" s="310">
        <f>D8</f>
        <v>47299</v>
      </c>
      <c r="E172" s="227"/>
      <c r="F172" s="227"/>
      <c r="G172" s="227"/>
      <c r="H172" s="311"/>
    </row>
    <row r="173" spans="1:8" x14ac:dyDescent="0.2">
      <c r="A173" s="4" t="s">
        <v>23</v>
      </c>
      <c r="B173" s="27" t="s">
        <v>211</v>
      </c>
      <c r="C173" s="19"/>
      <c r="H173" s="9"/>
    </row>
    <row r="174" spans="1:8" x14ac:dyDescent="0.2">
      <c r="B174" s="6"/>
      <c r="C174" s="15" t="s">
        <v>24</v>
      </c>
      <c r="D174" s="15"/>
      <c r="E174" s="218">
        <v>0</v>
      </c>
      <c r="F174" s="15" t="s">
        <v>32</v>
      </c>
      <c r="G174" s="219">
        <v>3</v>
      </c>
      <c r="H174" s="122" t="s">
        <v>8</v>
      </c>
    </row>
    <row r="175" spans="1:8" x14ac:dyDescent="0.2">
      <c r="A175" s="5"/>
      <c r="C175" s="22"/>
      <c r="D175" s="22"/>
      <c r="E175" s="13" t="s">
        <v>25</v>
      </c>
      <c r="F175" s="13"/>
      <c r="G175" s="220">
        <v>0</v>
      </c>
      <c r="H175" s="25">
        <f>((G174*(C178+C179)+G177+G178+C177)*E174)*G175</f>
        <v>0</v>
      </c>
    </row>
    <row r="176" spans="1:8" x14ac:dyDescent="0.2">
      <c r="A176" s="5"/>
      <c r="B176" s="22"/>
      <c r="C176" s="22"/>
      <c r="D176" s="22"/>
      <c r="E176" s="13" t="s">
        <v>26</v>
      </c>
      <c r="F176" s="13"/>
      <c r="G176" s="220">
        <v>0</v>
      </c>
      <c r="H176" s="25">
        <f>((G174*(C178+C179)+G177+G179+C177)*E174)*G176</f>
        <v>0</v>
      </c>
    </row>
    <row r="177" spans="1:8" x14ac:dyDescent="0.2">
      <c r="A177" s="5"/>
      <c r="B177" s="13" t="s">
        <v>27</v>
      </c>
      <c r="C177" s="44">
        <v>600</v>
      </c>
      <c r="D177" s="44"/>
      <c r="E177" s="13" t="s">
        <v>75</v>
      </c>
      <c r="F177" s="22"/>
      <c r="G177" s="42">
        <v>75</v>
      </c>
      <c r="H177" s="21">
        <f>IF(Year1!H8=1,0,IF(Year1!H8=2,0,H175+H176))</f>
        <v>0</v>
      </c>
    </row>
    <row r="178" spans="1:8" x14ac:dyDescent="0.2">
      <c r="A178" s="5"/>
      <c r="B178" s="13" t="s">
        <v>28</v>
      </c>
      <c r="C178" s="43">
        <v>92</v>
      </c>
      <c r="D178" s="43"/>
      <c r="E178" s="13" t="s">
        <v>30</v>
      </c>
      <c r="F178" s="22"/>
      <c r="G178" s="43">
        <v>650</v>
      </c>
      <c r="H178" s="25"/>
    </row>
    <row r="179" spans="1:8" x14ac:dyDescent="0.2">
      <c r="A179" s="20"/>
      <c r="B179" s="78" t="s">
        <v>29</v>
      </c>
      <c r="C179" s="79">
        <v>225</v>
      </c>
      <c r="D179" s="79"/>
      <c r="E179" s="78" t="s">
        <v>31</v>
      </c>
      <c r="F179" s="29"/>
      <c r="G179" s="79">
        <v>550</v>
      </c>
      <c r="H179" s="123"/>
    </row>
    <row r="180" spans="1:8" x14ac:dyDescent="0.2">
      <c r="A180" s="5"/>
      <c r="B180" s="27" t="s">
        <v>205</v>
      </c>
      <c r="C180" s="43"/>
      <c r="D180" s="43"/>
      <c r="E180" s="13"/>
      <c r="F180" s="22"/>
      <c r="G180" s="43"/>
      <c r="H180" s="25"/>
    </row>
    <row r="181" spans="1:8" x14ac:dyDescent="0.2">
      <c r="A181" s="5"/>
      <c r="B181" s="22"/>
      <c r="C181" s="15" t="s">
        <v>24</v>
      </c>
      <c r="D181" s="15"/>
      <c r="E181" s="218">
        <v>0</v>
      </c>
      <c r="F181" s="15" t="s">
        <v>32</v>
      </c>
      <c r="G181" s="219">
        <v>5</v>
      </c>
      <c r="H181" s="25"/>
    </row>
    <row r="182" spans="1:8" x14ac:dyDescent="0.2">
      <c r="A182" s="5"/>
      <c r="B182" s="13" t="s">
        <v>27</v>
      </c>
      <c r="C182" s="44">
        <v>1000</v>
      </c>
      <c r="D182" s="22"/>
      <c r="E182" s="13" t="s">
        <v>25</v>
      </c>
      <c r="F182" s="13"/>
      <c r="G182" s="220">
        <v>0</v>
      </c>
      <c r="H182" s="25">
        <f>((G181*(C183)+G184+C184+C182)*E181)*G182</f>
        <v>0</v>
      </c>
    </row>
    <row r="183" spans="1:8" x14ac:dyDescent="0.2">
      <c r="A183" s="5"/>
      <c r="B183" s="13" t="s">
        <v>33</v>
      </c>
      <c r="C183" s="43">
        <v>295</v>
      </c>
      <c r="D183" s="44"/>
      <c r="E183" s="13" t="s">
        <v>26</v>
      </c>
      <c r="F183" s="13"/>
      <c r="G183" s="220">
        <v>0</v>
      </c>
      <c r="H183" s="25">
        <f>((G181*(C183)+C184+G185+C182)*E181)*G183</f>
        <v>0</v>
      </c>
    </row>
    <row r="184" spans="1:8" x14ac:dyDescent="0.2">
      <c r="A184" s="5"/>
      <c r="B184" s="13" t="s">
        <v>206</v>
      </c>
      <c r="C184" s="42">
        <v>75</v>
      </c>
      <c r="D184" s="43"/>
      <c r="E184" s="13" t="s">
        <v>30</v>
      </c>
      <c r="F184" s="22"/>
      <c r="G184" s="43">
        <v>650</v>
      </c>
      <c r="H184" s="21">
        <f>IF(Year1!H8=1,0,IF(Year1!H8=2,0,H182+H183))</f>
        <v>0</v>
      </c>
    </row>
    <row r="185" spans="1:8" ht="13.5" thickBot="1" x14ac:dyDescent="0.25">
      <c r="A185" s="80"/>
      <c r="B185" s="81"/>
      <c r="C185" s="81"/>
      <c r="D185" s="81"/>
      <c r="E185" s="82" t="s">
        <v>31</v>
      </c>
      <c r="F185" s="81"/>
      <c r="G185" s="83">
        <v>550</v>
      </c>
      <c r="H185" s="124"/>
    </row>
    <row r="186" spans="1:8" x14ac:dyDescent="0.2">
      <c r="A186" s="294" t="s">
        <v>45</v>
      </c>
      <c r="B186" s="225"/>
      <c r="C186" s="225"/>
      <c r="D186" s="225"/>
      <c r="E186" s="254"/>
      <c r="F186" s="225"/>
      <c r="G186" s="225"/>
      <c r="H186" s="312">
        <f>H177+H184</f>
        <v>0</v>
      </c>
    </row>
    <row r="187" spans="1:8" x14ac:dyDescent="0.2">
      <c r="A187" s="3" t="s">
        <v>35</v>
      </c>
      <c r="B187" s="2"/>
      <c r="C187" s="16" t="s">
        <v>73</v>
      </c>
      <c r="D187" s="16"/>
      <c r="E187" s="2"/>
      <c r="F187" s="2" t="s">
        <v>36</v>
      </c>
      <c r="G187" s="2"/>
      <c r="H187" s="125"/>
    </row>
    <row r="188" spans="1:8" x14ac:dyDescent="0.2">
      <c r="A188" s="5"/>
      <c r="B188" s="15">
        <v>1</v>
      </c>
      <c r="C188" s="221"/>
      <c r="D188" s="221"/>
      <c r="E188" s="221"/>
      <c r="F188" s="222"/>
      <c r="H188" s="9"/>
    </row>
    <row r="189" spans="1:8" x14ac:dyDescent="0.2">
      <c r="A189" s="5"/>
      <c r="B189" s="15">
        <v>2</v>
      </c>
      <c r="C189" s="221"/>
      <c r="D189" s="221"/>
      <c r="E189" s="221"/>
      <c r="F189" s="222">
        <v>0</v>
      </c>
      <c r="H189" s="9"/>
    </row>
    <row r="190" spans="1:8" ht="13.5" thickBot="1" x14ac:dyDescent="0.25">
      <c r="A190" s="5"/>
      <c r="B190" s="15">
        <v>3</v>
      </c>
      <c r="C190" s="221"/>
      <c r="D190" s="221"/>
      <c r="E190" s="221"/>
      <c r="F190" s="222">
        <v>0</v>
      </c>
      <c r="H190" s="9"/>
    </row>
    <row r="191" spans="1:8" x14ac:dyDescent="0.2">
      <c r="A191" s="295" t="s">
        <v>46</v>
      </c>
      <c r="B191" s="256"/>
      <c r="C191" s="256"/>
      <c r="D191" s="256"/>
      <c r="E191" s="256"/>
      <c r="F191" s="256"/>
      <c r="G191" s="256" t="s">
        <v>9</v>
      </c>
      <c r="H191" s="313">
        <f>IF(Year1!H8=1,0,IF(Year1!H8=2,0,SUM(F188:F190)))</f>
        <v>0</v>
      </c>
    </row>
    <row r="192" spans="1:8" x14ac:dyDescent="0.2">
      <c r="A192" s="3" t="s">
        <v>37</v>
      </c>
      <c r="B192" s="2"/>
      <c r="C192" s="2"/>
      <c r="D192" s="2"/>
      <c r="E192" s="2" t="s">
        <v>42</v>
      </c>
      <c r="F192" s="2" t="s">
        <v>36</v>
      </c>
      <c r="G192" s="469"/>
      <c r="H192" s="125"/>
    </row>
    <row r="193" spans="1:8" x14ac:dyDescent="0.2">
      <c r="A193" s="5"/>
      <c r="C193" s="13" t="s">
        <v>1195</v>
      </c>
      <c r="D193" s="13"/>
      <c r="E193" s="218">
        <v>0</v>
      </c>
      <c r="F193" s="223">
        <v>0</v>
      </c>
      <c r="G193" s="6"/>
      <c r="H193" s="11">
        <f>IF(Year1!$H$8=1,0,IF(Year1!$H$8=2,0,E193*F193))</f>
        <v>0</v>
      </c>
    </row>
    <row r="194" spans="1:8" x14ac:dyDescent="0.2">
      <c r="A194" s="5"/>
      <c r="C194" s="13" t="s">
        <v>1192</v>
      </c>
      <c r="D194" s="13"/>
      <c r="E194" s="218">
        <v>0</v>
      </c>
      <c r="F194" s="223">
        <v>0</v>
      </c>
      <c r="G194" s="6"/>
      <c r="H194" s="11">
        <f>IF(Year1!$H$8=1,0,IF(Year1!$H$8=2,0,E194*F194))</f>
        <v>0</v>
      </c>
    </row>
    <row r="195" spans="1:8" x14ac:dyDescent="0.2">
      <c r="A195" s="5"/>
      <c r="C195" s="13" t="s">
        <v>1193</v>
      </c>
      <c r="D195" s="13"/>
      <c r="E195" s="218">
        <v>0</v>
      </c>
      <c r="F195" s="223">
        <v>0</v>
      </c>
      <c r="G195" s="6"/>
      <c r="H195" s="11">
        <f>IF(Year1!$H$8=1,0,IF(Year1!$H$8=2,0,E195*F195))</f>
        <v>0</v>
      </c>
    </row>
    <row r="196" spans="1:8" x14ac:dyDescent="0.2">
      <c r="A196" s="5"/>
      <c r="C196" s="13" t="s">
        <v>1194</v>
      </c>
      <c r="D196" s="13"/>
      <c r="E196" s="218">
        <v>0</v>
      </c>
      <c r="F196" s="223">
        <v>0</v>
      </c>
      <c r="G196" s="6"/>
      <c r="H196" s="11">
        <f>IF(Year1!$H$8=1,0,IF(Year1!$H$8=2,0,E196*F196))</f>
        <v>0</v>
      </c>
    </row>
    <row r="197" spans="1:8" x14ac:dyDescent="0.2">
      <c r="A197" s="5"/>
      <c r="B197" s="6" t="s">
        <v>38</v>
      </c>
      <c r="C197" s="6"/>
      <c r="D197" s="13"/>
      <c r="E197" s="105"/>
      <c r="F197" s="41"/>
      <c r="G197" s="6"/>
      <c r="H197" s="11"/>
    </row>
    <row r="198" spans="1:8" x14ac:dyDescent="0.2">
      <c r="A198" s="5"/>
      <c r="C198" s="6" t="s">
        <v>90</v>
      </c>
      <c r="D198" s="6"/>
      <c r="E198" s="213">
        <v>0</v>
      </c>
      <c r="F198" s="41">
        <f>Year1!F198</f>
        <v>3740.14</v>
      </c>
      <c r="G198" s="6"/>
      <c r="H198" s="11">
        <f>IF(Year1!H8=1,0,IF(Year1!H8=2,0,E198*F198))</f>
        <v>0</v>
      </c>
    </row>
    <row r="199" spans="1:8" x14ac:dyDescent="0.2">
      <c r="A199" s="5"/>
      <c r="C199" s="6" t="s">
        <v>39</v>
      </c>
      <c r="D199" s="6"/>
      <c r="E199" s="213">
        <v>0</v>
      </c>
      <c r="F199" s="41">
        <f>Year1!F199</f>
        <v>2940</v>
      </c>
      <c r="G199" s="6"/>
      <c r="H199" s="11">
        <f>IF(Year1!H8=1,0,IF(Year1!H8=2,0,E199*F199))</f>
        <v>0</v>
      </c>
    </row>
    <row r="200" spans="1:8" x14ac:dyDescent="0.2">
      <c r="A200" s="5"/>
      <c r="C200" s="6" t="s">
        <v>260</v>
      </c>
      <c r="D200" s="6"/>
      <c r="E200" s="213">
        <f>Year1!E200</f>
        <v>0</v>
      </c>
      <c r="F200" s="41">
        <f>Year1!F200</f>
        <v>990</v>
      </c>
      <c r="G200" s="6"/>
      <c r="H200" s="11">
        <f>IF(Year1!H8=1,0,IF(Year1!H8=2,0,E200*F200))</f>
        <v>0</v>
      </c>
    </row>
    <row r="201" spans="1:8" x14ac:dyDescent="0.2">
      <c r="A201" s="5"/>
      <c r="C201" s="6" t="s">
        <v>40</v>
      </c>
      <c r="D201" s="6"/>
      <c r="E201" s="213">
        <f>Year1!E201</f>
        <v>0</v>
      </c>
      <c r="F201" s="41">
        <f>Year1!F201</f>
        <v>105</v>
      </c>
      <c r="G201" s="213">
        <f>Year1!G201</f>
        <v>12</v>
      </c>
      <c r="H201" s="11">
        <f>IF(Year1!H8=1,0,IF(Year1!H8=2,0,E201*F201*G201))</f>
        <v>0</v>
      </c>
    </row>
    <row r="202" spans="1:8" x14ac:dyDescent="0.2">
      <c r="A202" s="5"/>
      <c r="C202" s="6" t="s">
        <v>41</v>
      </c>
      <c r="D202" s="6"/>
      <c r="E202" s="213">
        <f>Year1!E202</f>
        <v>0</v>
      </c>
      <c r="F202" s="41">
        <f>Year1!F202</f>
        <v>5</v>
      </c>
      <c r="G202" s="213">
        <f>Year1!G202</f>
        <v>12</v>
      </c>
      <c r="H202" s="11">
        <f>IF(Year1!H8=1,0,IF(Year1!H8=2,0,E202*F202*G202))</f>
        <v>0</v>
      </c>
    </row>
    <row r="203" spans="1:8" x14ac:dyDescent="0.2">
      <c r="A203" s="5"/>
      <c r="C203" s="6" t="s">
        <v>259</v>
      </c>
      <c r="D203" s="6"/>
      <c r="E203" s="213">
        <f>Year1!E203</f>
        <v>0</v>
      </c>
      <c r="F203" s="41">
        <f>Year1!F203</f>
        <v>10</v>
      </c>
      <c r="G203" s="213">
        <f>Year1!G203</f>
        <v>12</v>
      </c>
      <c r="H203" s="11">
        <f>IF(Year1!H8=1,0,IF(Year1!H8=2,0,E203*F203*G203))</f>
        <v>0</v>
      </c>
    </row>
    <row r="204" spans="1:8" x14ac:dyDescent="0.2">
      <c r="A204" s="5"/>
      <c r="B204" s="6" t="s">
        <v>1141</v>
      </c>
      <c r="C204" s="6"/>
      <c r="D204" s="6"/>
      <c r="E204" s="213">
        <v>0</v>
      </c>
      <c r="F204" s="41">
        <f>Year1!F204</f>
        <v>90.4</v>
      </c>
      <c r="G204" s="213">
        <f>Year1!G204</f>
        <v>12</v>
      </c>
      <c r="H204" s="11">
        <f>IF(Year1!H8=1,0,IF(Year1!H8=2,0,E204*F204*G204))</f>
        <v>0</v>
      </c>
    </row>
    <row r="205" spans="1:8" x14ac:dyDescent="0.2">
      <c r="A205" s="5"/>
      <c r="B205" s="6" t="s">
        <v>1142</v>
      </c>
      <c r="C205" s="6"/>
      <c r="D205" s="6"/>
      <c r="E205" s="6"/>
      <c r="F205" s="31"/>
      <c r="G205" s="6"/>
      <c r="H205" s="11"/>
    </row>
    <row r="206" spans="1:8" x14ac:dyDescent="0.2">
      <c r="A206" s="5"/>
      <c r="C206" s="6" t="s">
        <v>209</v>
      </c>
      <c r="D206" s="6"/>
      <c r="E206" s="213">
        <v>0</v>
      </c>
      <c r="F206" s="41">
        <f>Year1!F206</f>
        <v>1500</v>
      </c>
      <c r="G206" s="213">
        <f>Year1!G206</f>
        <v>12</v>
      </c>
      <c r="H206" s="11">
        <f>IF(Year1!H8=1,0,IF(Year1!H8=2,0,E206*F206*G206))</f>
        <v>0</v>
      </c>
    </row>
    <row r="207" spans="1:8" x14ac:dyDescent="0.2">
      <c r="A207" s="5"/>
      <c r="C207" s="6" t="s">
        <v>210</v>
      </c>
      <c r="D207" s="6"/>
      <c r="E207" s="213">
        <v>0</v>
      </c>
      <c r="F207" s="41">
        <f>Year1!F207</f>
        <v>1600</v>
      </c>
      <c r="G207" s="213">
        <f>Year1!G207</f>
        <v>12</v>
      </c>
      <c r="H207" s="11">
        <f>IF(Year1!H8=1,0,IF(Year1!H8=2,0,E207*F207*G207))</f>
        <v>0</v>
      </c>
    </row>
    <row r="208" spans="1:8" x14ac:dyDescent="0.2">
      <c r="A208" s="5"/>
      <c r="B208" s="6" t="s">
        <v>649</v>
      </c>
      <c r="C208" s="6"/>
      <c r="D208" s="6"/>
      <c r="E208" s="6"/>
      <c r="F208" s="195" t="s">
        <v>650</v>
      </c>
      <c r="G208" s="246">
        <f>IF(OR(D10="Non-Federal"),H149*0.0205,H149*0)</f>
        <v>0</v>
      </c>
      <c r="H208" s="11">
        <f>IF(Year1!$H$8=1,0,IF(Year1!$H$8=2,0,G208))</f>
        <v>0</v>
      </c>
    </row>
    <row r="209" spans="1:11" x14ac:dyDescent="0.2">
      <c r="B209" s="6" t="s">
        <v>1196</v>
      </c>
      <c r="G209" s="221">
        <v>0</v>
      </c>
      <c r="H209" s="11">
        <f>IF(Year1!$H$8=1,0,IF(Year1!$H$8=2,0,G209))</f>
        <v>0</v>
      </c>
    </row>
    <row r="210" spans="1:11" x14ac:dyDescent="0.2">
      <c r="A210" s="5"/>
      <c r="B210" s="6" t="s">
        <v>236</v>
      </c>
      <c r="C210" s="6"/>
      <c r="D210" s="6"/>
      <c r="E210" s="6"/>
      <c r="F210" s="195" t="s">
        <v>650</v>
      </c>
      <c r="G210" s="213">
        <v>0</v>
      </c>
      <c r="H210" s="11">
        <f>IF(Year1!$H$8=1,0,IF(Year1!$H$8=2,0,G210))</f>
        <v>0</v>
      </c>
    </row>
    <row r="211" spans="1:11" x14ac:dyDescent="0.2">
      <c r="A211" s="5"/>
      <c r="B211" t="s">
        <v>261</v>
      </c>
      <c r="C211" s="6"/>
      <c r="D211" s="6"/>
      <c r="E211" s="6"/>
      <c r="F211" s="195" t="s">
        <v>650</v>
      </c>
      <c r="G211" s="213">
        <v>0</v>
      </c>
      <c r="H211" s="11">
        <f>IF(Year1!$H$8=1,0,IF(Year1!$H$8=2,0,G211))</f>
        <v>0</v>
      </c>
    </row>
    <row r="212" spans="1:11" x14ac:dyDescent="0.2">
      <c r="A212" s="249" t="s">
        <v>424</v>
      </c>
      <c r="B212" s="6" t="s">
        <v>43</v>
      </c>
      <c r="C212" s="6"/>
      <c r="D212" s="6"/>
      <c r="E212" s="196" t="s">
        <v>650</v>
      </c>
      <c r="F212" s="247">
        <v>0</v>
      </c>
      <c r="G212" s="248">
        <f>Year1!G212</f>
        <v>12</v>
      </c>
      <c r="H212" s="11">
        <f>F212*G212</f>
        <v>0</v>
      </c>
    </row>
    <row r="213" spans="1:11" ht="13.5" thickBot="1" x14ac:dyDescent="0.25">
      <c r="A213" s="249" t="s">
        <v>418</v>
      </c>
      <c r="B213" s="6" t="s">
        <v>44</v>
      </c>
      <c r="C213" s="6"/>
      <c r="D213" s="6"/>
      <c r="E213" s="6"/>
      <c r="F213" s="6"/>
      <c r="G213" s="6"/>
      <c r="H213" s="11"/>
    </row>
    <row r="214" spans="1:11" ht="13.5" thickBot="1" x14ac:dyDescent="0.25">
      <c r="A214" s="292" t="s">
        <v>47</v>
      </c>
      <c r="B214" s="234"/>
      <c r="C214" s="234"/>
      <c r="D214" s="234"/>
      <c r="E214" s="234"/>
      <c r="F214" s="234"/>
      <c r="G214" s="234"/>
      <c r="H214" s="293">
        <f>SUM(H193:H213)</f>
        <v>0</v>
      </c>
    </row>
    <row r="215" spans="1:11" ht="13.5" thickBot="1" x14ac:dyDescent="0.25">
      <c r="A215" s="4" t="s">
        <v>49</v>
      </c>
      <c r="B215" s="494" t="s">
        <v>1197</v>
      </c>
      <c r="C215" s="234"/>
      <c r="D215" s="234"/>
      <c r="E215" s="234"/>
      <c r="F215" s="234"/>
      <c r="G215" s="234"/>
      <c r="H215" s="234"/>
    </row>
    <row r="216" spans="1:11" x14ac:dyDescent="0.2">
      <c r="A216" s="4"/>
      <c r="B216" s="330" t="str">
        <f>Year1!B216</f>
        <v>Yes</v>
      </c>
      <c r="C216" s="480">
        <f>Year1!C216</f>
        <v>0</v>
      </c>
      <c r="D216" s="6"/>
      <c r="E216" s="6"/>
      <c r="F216" s="214"/>
      <c r="G216" s="6"/>
      <c r="H216" s="10"/>
    </row>
    <row r="217" spans="1:11" x14ac:dyDescent="0.2">
      <c r="A217" s="4"/>
      <c r="B217" s="330" t="str">
        <f>Year1!B217</f>
        <v>Yes</v>
      </c>
      <c r="C217" s="472">
        <f>Year1!C217</f>
        <v>0</v>
      </c>
      <c r="D217" s="6"/>
      <c r="E217" s="6"/>
      <c r="F217" s="214"/>
      <c r="G217" s="6"/>
      <c r="H217" s="10"/>
      <c r="K217" s="12"/>
    </row>
    <row r="218" spans="1:11" x14ac:dyDescent="0.2">
      <c r="A218" s="4"/>
      <c r="B218" s="330" t="str">
        <f>Year1!B218</f>
        <v>No</v>
      </c>
      <c r="C218" s="472">
        <f>Year1!C218</f>
        <v>0</v>
      </c>
      <c r="D218" s="6"/>
      <c r="E218" s="6"/>
      <c r="F218" s="214"/>
      <c r="G218" s="6"/>
      <c r="H218" s="10"/>
      <c r="K218" s="12"/>
    </row>
    <row r="219" spans="1:11" x14ac:dyDescent="0.2">
      <c r="A219" s="4"/>
      <c r="B219" s="330" t="str">
        <f>Year1!B219</f>
        <v>No</v>
      </c>
      <c r="C219" s="472">
        <f>Year1!C219</f>
        <v>0</v>
      </c>
      <c r="D219" s="6"/>
      <c r="E219" s="6"/>
      <c r="F219" s="214"/>
      <c r="G219" s="6"/>
      <c r="H219" s="10"/>
      <c r="K219" s="12"/>
    </row>
    <row r="220" spans="1:11" ht="13.5" thickBot="1" x14ac:dyDescent="0.25">
      <c r="A220" s="4"/>
      <c r="B220" s="330" t="str">
        <f>Year1!B220</f>
        <v>No</v>
      </c>
      <c r="C220" s="481">
        <f>Year1!C220</f>
        <v>0</v>
      </c>
      <c r="D220" s="6"/>
      <c r="E220" s="6"/>
      <c r="F220" s="214"/>
      <c r="G220" s="6"/>
      <c r="H220" s="10"/>
      <c r="K220" s="12"/>
    </row>
    <row r="221" spans="1:11" x14ac:dyDescent="0.2">
      <c r="A221" s="255" t="s">
        <v>50</v>
      </c>
      <c r="B221" s="256"/>
      <c r="C221" s="256"/>
      <c r="D221" s="256"/>
      <c r="E221" s="256"/>
      <c r="F221" s="256"/>
      <c r="G221" s="256"/>
      <c r="H221" s="257">
        <f>SUM(F216:F220)</f>
        <v>0</v>
      </c>
      <c r="K221" s="12"/>
    </row>
    <row r="222" spans="1:11" x14ac:dyDescent="0.2">
      <c r="A222" s="237" t="s">
        <v>48</v>
      </c>
      <c r="B222" s="258"/>
      <c r="C222" s="227"/>
      <c r="D222" s="227"/>
      <c r="E222" s="227"/>
      <c r="F222" s="227"/>
      <c r="G222" s="227"/>
      <c r="H222" s="259">
        <f>H221+H214+H191+H186+H169</f>
        <v>0</v>
      </c>
      <c r="J222" s="12"/>
    </row>
    <row r="223" spans="1:11" x14ac:dyDescent="0.2">
      <c r="A223" s="237" t="s">
        <v>154</v>
      </c>
      <c r="B223" s="225"/>
      <c r="C223" s="260" t="s">
        <v>807</v>
      </c>
      <c r="D223" s="225"/>
      <c r="E223" s="225"/>
      <c r="F223" s="261">
        <f>H222-(H202+H191)-SUM(H158:H161)-SUM(H193:H196)-H221</f>
        <v>0</v>
      </c>
      <c r="G223" s="225"/>
      <c r="H223" s="263"/>
    </row>
    <row r="224" spans="1:11" x14ac:dyDescent="0.2">
      <c r="A224" s="264" t="s">
        <v>808</v>
      </c>
      <c r="B224" s="265"/>
      <c r="C224" s="266">
        <f>F223*E224</f>
        <v>0</v>
      </c>
      <c r="D224" s="298">
        <f>LOOKUP(B8,Grid!E40:E129,Grid!I40:I129)</f>
        <v>0.60499999999999998</v>
      </c>
      <c r="E224" s="299">
        <f>LOOKUP(B8,Grid!E40:E129,Grid!G40:G129)</f>
        <v>1</v>
      </c>
      <c r="F224" s="300">
        <f>ROUND(F223*D224*E224,0)</f>
        <v>0</v>
      </c>
      <c r="G224" s="284">
        <f>F224+F225</f>
        <v>0</v>
      </c>
      <c r="H224" s="301" t="s">
        <v>628</v>
      </c>
    </row>
    <row r="225" spans="1:9" x14ac:dyDescent="0.2">
      <c r="A225" s="264"/>
      <c r="B225" s="265"/>
      <c r="C225" s="266">
        <f>F223*E225</f>
        <v>0</v>
      </c>
      <c r="D225" s="298">
        <f>LOOKUP(B8,Grid!E40:E129,Grid!J40:J129)</f>
        <v>0.60499999999999998</v>
      </c>
      <c r="E225" s="299">
        <f>LOOKUP(B8,Grid!E40:E129,Grid!H40:H129)</f>
        <v>0</v>
      </c>
      <c r="F225" s="300">
        <f>F223*D225*E225</f>
        <v>0</v>
      </c>
      <c r="G225" s="225"/>
      <c r="H225" s="259"/>
    </row>
    <row r="226" spans="1:9" x14ac:dyDescent="0.2">
      <c r="A226" s="274" t="s">
        <v>809</v>
      </c>
      <c r="B226" s="275"/>
      <c r="C226" s="266">
        <f>H222*E226</f>
        <v>0</v>
      </c>
      <c r="D226" s="276">
        <f>LOOKUP($B$8,Grid!$E$40:$E$129,Grid!$I$40:$I$129)</f>
        <v>0.60499999999999998</v>
      </c>
      <c r="E226" s="277">
        <f>LOOKUP($B$8,Grid!$E$40:$E$129,Grid!$G$40:$G$129)</f>
        <v>1</v>
      </c>
      <c r="F226" s="278">
        <f>ROUND($H$222*$D$226*$E$226,0)</f>
        <v>0</v>
      </c>
      <c r="G226" s="279">
        <f>F226+F227</f>
        <v>0</v>
      </c>
      <c r="H226" s="280" t="s">
        <v>9</v>
      </c>
    </row>
    <row r="227" spans="1:9" x14ac:dyDescent="0.2">
      <c r="A227" s="274"/>
      <c r="B227" s="275"/>
      <c r="C227" s="266">
        <f>H222*E227</f>
        <v>0</v>
      </c>
      <c r="D227" s="276">
        <f>LOOKUP($B$8,Grid!$E$40:$E$129,Grid!$J$40:$J$129)</f>
        <v>0.60499999999999998</v>
      </c>
      <c r="E227" s="277">
        <f>LOOKUP($B$8,Grid!$E$40:$E$129,Grid!$H$40:$H$129)</f>
        <v>0</v>
      </c>
      <c r="F227" s="278">
        <f>ROUND($H$222*$D$227*$E$227,0)</f>
        <v>0</v>
      </c>
      <c r="G227" s="275"/>
      <c r="H227" s="281"/>
    </row>
    <row r="228" spans="1:9" x14ac:dyDescent="0.2">
      <c r="A228" s="237" t="s">
        <v>804</v>
      </c>
      <c r="B228" s="225"/>
      <c r="C228" s="225"/>
      <c r="D228" s="282"/>
      <c r="E228" s="283"/>
      <c r="F228" s="284"/>
      <c r="G228" s="285" t="str">
        <f>IF($C$9=Reference!$A$5,Reference!$E$5,IF($C$9=Reference!$A$6,Reference!$E$6,IF($C$9=Reference!$A$7,Reference!$E$7,"")))</f>
        <v/>
      </c>
      <c r="H228" s="259">
        <f>IF((AND($C$10="Modified Total Direct Costs",$C$9=Reference!$A$5)),$F$223*Reference!$E$5,IF((AND($C$10="Modified Total Direct Costs",$C$9=Reference!$A$6)),$F$223*Reference!$E$6,IF((AND($C$10="Modified Total Direct Costs",$C$9=Reference!$A$7)),$F$223*Reference!$E$7,IF((AND($C$10="Modified Total Direct Costs",$C$9=Reference!$A$2)),$G$224,IF((AND($C$10="Modified Total Direct Costs",$C$9=Reference!$A$3)),$G$224,IF((AND($C$10="Modified Total Direct Costs",$C$9=Reference!$A$4)),$G$224,IF((AND($C$10="Total Direct Costs",$C$9=Reference!$A$2)),$G$226,IF((AND($C$10="Total Direct Costs",$C$9=Reference!$A$3)),$G$226,IF((AND($C$10="Total Direct Costs",$C$9=Reference!$A$4)),$G$226,IF((AND($C$10="Total Direct Costs",$C$9=Reference!$A$5)),$H$222*Reference!$E$5,IF((AND($C$10="Total Direct Costs",$C$9=Reference!$A$6)),$H$222*Reference!$E$6,IF((AND($C$10="Total Direct Costs",$C$9=Reference!$A$7)),$H$222*Reference!$E$7,IF((AND($C$10="Total Costs",$C$9=Reference!$A$7)),($H$222/(1-Reference!$E$7)*Reference!$E$7))))))))))))))</f>
        <v>0</v>
      </c>
      <c r="I228" s="12"/>
    </row>
    <row r="229" spans="1:9" x14ac:dyDescent="0.2">
      <c r="A229" s="237"/>
      <c r="B229" s="225"/>
      <c r="C229" s="225"/>
      <c r="D229" s="286"/>
      <c r="E229" s="302"/>
      <c r="F229" s="307" t="s">
        <v>515</v>
      </c>
      <c r="G229" s="308">
        <f>IF(C9=Reference!A2,Reference!E2,IF(C9=Reference!A5,Reference!E5,IF(C9=Reference!A6,Reference!E6,IF(C9=Reference!A7,Reference!E7,IF(C9=Reference!A3,Reference!E3,IF(C9=Reference!A4,Reference!E4))))))</f>
        <v>0.60499999999999998</v>
      </c>
      <c r="H229" s="259"/>
    </row>
    <row r="230" spans="1:9" ht="13.5" thickBot="1" x14ac:dyDescent="0.25">
      <c r="A230" s="288"/>
      <c r="B230" s="225"/>
      <c r="C230" s="225"/>
      <c r="D230" s="225"/>
      <c r="E230" s="225" t="s">
        <v>157</v>
      </c>
      <c r="F230" s="225"/>
      <c r="G230" s="225"/>
      <c r="H230" s="259">
        <f>H222+H228</f>
        <v>0</v>
      </c>
    </row>
    <row r="231" spans="1:9" ht="13.5" thickBot="1" x14ac:dyDescent="0.25">
      <c r="A231" s="482"/>
      <c r="B231" s="252"/>
      <c r="C231" s="252"/>
      <c r="D231" s="252"/>
      <c r="E231" s="252"/>
      <c r="F231" s="252"/>
      <c r="G231" s="252"/>
      <c r="H231" s="253"/>
    </row>
  </sheetData>
  <phoneticPr fontId="4" type="noConversion"/>
  <dataValidations count="3">
    <dataValidation type="list" allowBlank="1" showInputMessage="1" showErrorMessage="1" sqref="C83 C86" xr:uid="{00000000-0002-0000-0200-000000000000}">
      <formula1>Other_Personnel</formula1>
    </dataValidation>
    <dataValidation type="list" errorStyle="information" allowBlank="1" showInputMessage="1" showErrorMessage="1" error="To override the pick list and manually enter a name not on it, just select OK to this informational message." sqref="C12:C22" xr:uid="{00000000-0002-0000-0200-000001000000}">
      <formula1>Name</formula1>
    </dataValidation>
    <dataValidation type="list" allowBlank="1" showInputMessage="1" showErrorMessage="1" sqref="B216:B220" xr:uid="{218F6DB1-E208-4274-A1A0-A8ED28DED123}">
      <formula1>"Yes,No"</formula1>
    </dataValidation>
  </dataValidations>
  <pageMargins left="0.7" right="0.7" top="0.75" bottom="0.75" header="0.3" footer="0.3"/>
  <pageSetup scale="65" orientation="portrait" r:id="rId1"/>
  <headerFooter alignWithMargins="0"/>
  <rowBreaks count="2" manualBreakCount="2">
    <brk id="72" max="16383" man="1"/>
    <brk id="149" max="16383" man="1"/>
  </rowBreaks>
  <ignoredErrors>
    <ignoredError sqref="F224:F227 G229 C9 D224:E22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29"/>
  </sheetPr>
  <dimension ref="A1:N231"/>
  <sheetViews>
    <sheetView zoomScaleNormal="100" workbookViewId="0">
      <selection activeCell="C184" sqref="C184"/>
    </sheetView>
  </sheetViews>
  <sheetFormatPr defaultRowHeight="12.75" x14ac:dyDescent="0.2"/>
  <cols>
    <col min="1" max="1" width="10.140625" customWidth="1"/>
    <col min="2" max="2" width="13" customWidth="1"/>
    <col min="3" max="3" width="31.42578125" customWidth="1"/>
    <col min="4" max="4" width="13.28515625" customWidth="1"/>
    <col min="5" max="5" width="8.140625" customWidth="1"/>
    <col min="6" max="6" width="16.140625" customWidth="1"/>
    <col min="7" max="7" width="13" customWidth="1"/>
    <col min="8" max="8" width="14.28515625" customWidth="1"/>
  </cols>
  <sheetData>
    <row r="1" spans="1:8" ht="15" x14ac:dyDescent="0.2">
      <c r="C1" s="1"/>
      <c r="D1" s="1"/>
      <c r="F1" s="75" t="s">
        <v>0</v>
      </c>
    </row>
    <row r="2" spans="1:8" ht="18" x14ac:dyDescent="0.25">
      <c r="C2" s="1"/>
      <c r="D2" s="1"/>
      <c r="F2" s="76" t="s">
        <v>159</v>
      </c>
    </row>
    <row r="3" spans="1:8" ht="15" x14ac:dyDescent="0.2">
      <c r="C3" s="1"/>
      <c r="D3" s="1"/>
    </row>
    <row r="4" spans="1:8" x14ac:dyDescent="0.2">
      <c r="H4" s="320" t="str">
        <f>Year1!H4</f>
        <v>Ver.14.6 3/25</v>
      </c>
    </row>
    <row r="6" spans="1:8" x14ac:dyDescent="0.2">
      <c r="A6" s="224" t="s">
        <v>1</v>
      </c>
      <c r="B6" s="225"/>
      <c r="C6" s="230">
        <f>Year1!C6</f>
        <v>0</v>
      </c>
      <c r="D6" s="230"/>
      <c r="E6" s="230"/>
      <c r="F6" s="230"/>
      <c r="G6" s="230"/>
      <c r="H6" s="230"/>
    </row>
    <row r="7" spans="1:8" x14ac:dyDescent="0.2">
      <c r="A7" s="224" t="s">
        <v>2</v>
      </c>
      <c r="B7" s="239">
        <f>Year1!B7</f>
        <v>0</v>
      </c>
      <c r="C7" s="230"/>
      <c r="D7" s="230"/>
      <c r="E7" s="230"/>
      <c r="F7" s="230"/>
      <c r="G7" s="230"/>
      <c r="H7" s="229"/>
    </row>
    <row r="8" spans="1:8" x14ac:dyDescent="0.2">
      <c r="A8" s="224" t="s">
        <v>79</v>
      </c>
      <c r="B8" s="226">
        <f>Year3!D8+1</f>
        <v>47300</v>
      </c>
      <c r="C8" s="291" t="str">
        <f>Year1!C8</f>
        <v>through</v>
      </c>
      <c r="D8" s="226">
        <f>DATE(YEAR(B8)+1,MONTH(B8)-1+1,0)</f>
        <v>47664</v>
      </c>
      <c r="E8" s="229"/>
      <c r="F8" s="229"/>
      <c r="G8" s="229"/>
      <c r="H8" s="229"/>
    </row>
    <row r="9" spans="1:8" x14ac:dyDescent="0.2">
      <c r="A9" s="304" t="s">
        <v>3</v>
      </c>
      <c r="B9" s="305"/>
      <c r="C9" s="306" t="str">
        <f>Year1!C9</f>
        <v>On Campus Rate to 7/1//22-6/30/24 and until further notice</v>
      </c>
      <c r="D9" s="229"/>
      <c r="E9" s="229"/>
      <c r="F9" s="229"/>
      <c r="G9" s="229"/>
      <c r="H9" s="229"/>
    </row>
    <row r="10" spans="1:8" x14ac:dyDescent="0.2">
      <c r="A10" s="224" t="s">
        <v>200</v>
      </c>
      <c r="B10" s="225"/>
      <c r="C10" s="225" t="str">
        <f>Year1!C10</f>
        <v>Modified Total Direct Costs</v>
      </c>
      <c r="D10" s="225" t="str">
        <f>Year1!D10</f>
        <v>Federal</v>
      </c>
      <c r="E10" s="225"/>
      <c r="F10" s="225"/>
      <c r="G10" s="225"/>
      <c r="H10" s="225"/>
    </row>
    <row r="11" spans="1:8" ht="25.5" x14ac:dyDescent="0.2">
      <c r="A11" s="3" t="s">
        <v>5</v>
      </c>
      <c r="B11" s="14" t="s">
        <v>1190</v>
      </c>
      <c r="D11" s="426" t="s">
        <v>1186</v>
      </c>
      <c r="E11" s="71" t="s">
        <v>6</v>
      </c>
      <c r="F11" s="71" t="s">
        <v>198</v>
      </c>
      <c r="G11" s="71" t="s">
        <v>7</v>
      </c>
      <c r="H11" s="72" t="s">
        <v>8</v>
      </c>
    </row>
    <row r="12" spans="1:8" x14ac:dyDescent="0.2">
      <c r="A12" s="4" t="s">
        <v>4</v>
      </c>
      <c r="B12" s="225" t="str">
        <f>Year1!B12</f>
        <v>Academic</v>
      </c>
      <c r="C12" s="462" t="str">
        <f>Year1!C12</f>
        <v>Blank</v>
      </c>
      <c r="D12" s="463" t="str">
        <f>Year1!D12</f>
        <v>No</v>
      </c>
      <c r="E12" s="213">
        <f>Year1!E12</f>
        <v>0</v>
      </c>
      <c r="F12" s="424">
        <f>Year3!F12*1.04</f>
        <v>0</v>
      </c>
      <c r="G12" s="215">
        <f>Year1!G12</f>
        <v>1</v>
      </c>
      <c r="H12" s="11">
        <f>IF(AND($D$12="Yes",$F$12&gt;=Reference!$L$2),(Reference!$L$2*$E$12*$G$12),$F$12*$E$12*$G$12)</f>
        <v>0</v>
      </c>
    </row>
    <row r="13" spans="1:8" x14ac:dyDescent="0.2">
      <c r="A13" s="5"/>
      <c r="B13" s="225" t="str">
        <f>Year1!B13</f>
        <v>Academic</v>
      </c>
      <c r="C13" s="462" t="str">
        <f>Year1!C13</f>
        <v>Blank</v>
      </c>
      <c r="D13" s="463" t="str">
        <f>Year1!D13</f>
        <v>No</v>
      </c>
      <c r="E13" s="213">
        <f>Year1!E13</f>
        <v>0</v>
      </c>
      <c r="F13" s="424">
        <f>Year3!F13*1.04</f>
        <v>0</v>
      </c>
      <c r="G13" s="215">
        <f>Year1!G13</f>
        <v>1</v>
      </c>
      <c r="H13" s="11">
        <f>IF(AND($D$13="Yes",$F$13&gt;=Reference!$L$2),(Reference!$L$2*$E$13*$G$13),$F$13*$E$13*$G$13)</f>
        <v>0</v>
      </c>
    </row>
    <row r="14" spans="1:8" x14ac:dyDescent="0.2">
      <c r="A14" s="5"/>
      <c r="B14" s="225" t="str">
        <f>Year1!B14</f>
        <v>Academic</v>
      </c>
      <c r="C14" s="462" t="str">
        <f>Year1!C14</f>
        <v>Blank</v>
      </c>
      <c r="D14" s="463" t="str">
        <f>Year1!D14</f>
        <v>No</v>
      </c>
      <c r="E14" s="213">
        <f>Year1!E14</f>
        <v>0</v>
      </c>
      <c r="F14" s="424">
        <f>Year3!F14*1.04</f>
        <v>0</v>
      </c>
      <c r="G14" s="215">
        <f>Year1!G14</f>
        <v>1</v>
      </c>
      <c r="H14" s="11">
        <f>IF(AND($D$14="Yes",$F$14&gt;=Reference!$L$2),(Reference!$L$2*$E$14*$G$14),$F$14*$E$14*$G$14)</f>
        <v>0</v>
      </c>
    </row>
    <row r="15" spans="1:8" x14ac:dyDescent="0.2">
      <c r="A15" s="5"/>
      <c r="B15" s="225" t="str">
        <f>Year1!B15</f>
        <v>Academic</v>
      </c>
      <c r="C15" s="462" t="str">
        <f>Year1!C15</f>
        <v>Blank</v>
      </c>
      <c r="D15" s="463" t="str">
        <f>Year1!D15</f>
        <v>No</v>
      </c>
      <c r="E15" s="213">
        <f>Year1!E15</f>
        <v>0</v>
      </c>
      <c r="F15" s="424">
        <f>Year3!F15*1.04</f>
        <v>0</v>
      </c>
      <c r="G15" s="215">
        <f>Year1!G15</f>
        <v>1</v>
      </c>
      <c r="H15" s="11">
        <f>IF(AND($D$15="Yes",$F$15&gt;=Reference!$L$2),(Reference!$L$2*$E$15*$G$15),$F$15*$E$15*$G$15)</f>
        <v>0</v>
      </c>
    </row>
    <row r="16" spans="1:8" x14ac:dyDescent="0.2">
      <c r="A16" s="5"/>
      <c r="B16" s="225" t="str">
        <f>Year1!B16</f>
        <v>Academic</v>
      </c>
      <c r="C16" s="462" t="str">
        <f>Year1!C16</f>
        <v>Blank</v>
      </c>
      <c r="D16" s="463" t="str">
        <f>Year1!D16</f>
        <v>No</v>
      </c>
      <c r="E16" s="213">
        <f>Year1!E16</f>
        <v>0</v>
      </c>
      <c r="F16" s="424">
        <f>Year3!F16*1.04</f>
        <v>0</v>
      </c>
      <c r="G16" s="215">
        <f>Year1!G16</f>
        <v>1</v>
      </c>
      <c r="H16" s="11">
        <f>IF(AND($D$16="Yes",$F$16&gt;=Reference!$L$2),(Reference!$L$2*$E$16*$G$16),$F$16*$E$16*$G$16)</f>
        <v>0</v>
      </c>
    </row>
    <row r="17" spans="1:8" x14ac:dyDescent="0.2">
      <c r="A17" s="5"/>
      <c r="B17" s="225" t="str">
        <f>Year1!B17</f>
        <v>Academic</v>
      </c>
      <c r="C17" s="462" t="str">
        <f>Year1!C17</f>
        <v>Blank</v>
      </c>
      <c r="D17" s="463" t="str">
        <f>Year1!D17</f>
        <v>No</v>
      </c>
      <c r="E17" s="213">
        <f>Year1!E17</f>
        <v>0</v>
      </c>
      <c r="F17" s="424">
        <f>Year3!F17*1.04</f>
        <v>0</v>
      </c>
      <c r="G17" s="215">
        <f>Year1!G17</f>
        <v>1</v>
      </c>
      <c r="H17" s="11">
        <f>IF(AND($D$17="Yes",$F$17&gt;=Reference!$L$2),(Reference!$L$2*$E$17*$G$17),$F$17*$E$17*$G$17)</f>
        <v>0</v>
      </c>
    </row>
    <row r="18" spans="1:8" x14ac:dyDescent="0.2">
      <c r="A18" s="5"/>
      <c r="B18" s="225" t="str">
        <f>Year1!B18</f>
        <v>Academic</v>
      </c>
      <c r="C18" s="462" t="str">
        <f>Year1!C18</f>
        <v>Blank</v>
      </c>
      <c r="D18" s="463" t="str">
        <f>Year1!D18</f>
        <v>No</v>
      </c>
      <c r="E18" s="213">
        <f>Year1!E18</f>
        <v>0</v>
      </c>
      <c r="F18" s="424">
        <f>Year3!F18*1.04</f>
        <v>0</v>
      </c>
      <c r="G18" s="215">
        <f>Year1!G18</f>
        <v>1</v>
      </c>
      <c r="H18" s="11">
        <f>IF(AND($D$18="Yes",$F$18&gt;=Reference!$L$2),(Reference!$L$2*$E$18*$G$18),$F$18*$E$18*$G$18)</f>
        <v>0</v>
      </c>
    </row>
    <row r="19" spans="1:8" x14ac:dyDescent="0.2">
      <c r="A19" s="5"/>
      <c r="B19" s="225" t="str">
        <f>Year1!B19</f>
        <v>Calendar</v>
      </c>
      <c r="C19" s="462" t="str">
        <f>Year1!C19</f>
        <v>Blank</v>
      </c>
      <c r="D19" s="463" t="str">
        <f>Year1!D19</f>
        <v>No</v>
      </c>
      <c r="E19" s="213">
        <f>Year1!E19</f>
        <v>0</v>
      </c>
      <c r="F19" s="424">
        <f>Year3!F19*1.04</f>
        <v>0</v>
      </c>
      <c r="G19" s="215">
        <f>Year1!G19</f>
        <v>1</v>
      </c>
      <c r="H19" s="11">
        <f>IF(AND($D$19="Yes",$F$19&gt;=Reference!$L$2),(Reference!$L$2*$E$19*$G$19),$F$19*$E$19*$G$19)</f>
        <v>0</v>
      </c>
    </row>
    <row r="20" spans="1:8" x14ac:dyDescent="0.2">
      <c r="A20" s="5"/>
      <c r="B20" s="225" t="str">
        <f>Year1!B20</f>
        <v>Calendar</v>
      </c>
      <c r="C20" s="462" t="str">
        <f>Year1!C20</f>
        <v>Blank</v>
      </c>
      <c r="D20" s="463" t="str">
        <f>Year1!D20</f>
        <v>No</v>
      </c>
      <c r="E20" s="213">
        <f>Year1!E20</f>
        <v>0</v>
      </c>
      <c r="F20" s="424">
        <f>Year3!F20*1.04</f>
        <v>0</v>
      </c>
      <c r="G20" s="215">
        <f>Year1!G20</f>
        <v>1</v>
      </c>
      <c r="H20" s="11">
        <f>IF(AND($D$20="Yes",$F$20&gt;=Reference!$L$2),(Reference!$L$2*$E$20*$G$20),$F$20*$E$20*$G$20)</f>
        <v>0</v>
      </c>
    </row>
    <row r="21" spans="1:8" x14ac:dyDescent="0.2">
      <c r="A21" s="5"/>
      <c r="B21" s="225" t="str">
        <f>Year1!B21</f>
        <v>Recall</v>
      </c>
      <c r="C21" s="462" t="str">
        <f>Year1!C21</f>
        <v>Blank</v>
      </c>
      <c r="D21" s="463" t="str">
        <f>Year1!D21</f>
        <v>No</v>
      </c>
      <c r="E21" s="213">
        <f>Year1!E21</f>
        <v>0</v>
      </c>
      <c r="F21" s="424">
        <f>Year3!F21*1.04</f>
        <v>0</v>
      </c>
      <c r="G21" s="215">
        <f>Year1!G21</f>
        <v>1</v>
      </c>
      <c r="H21" s="11">
        <f>IF(AND($D$21="Yes",$F$21&gt;=Reference!$L$2),(Reference!$L$2*$E$21*$G$21),$F$21*$E$21*$G$21)</f>
        <v>0</v>
      </c>
    </row>
    <row r="22" spans="1:8" x14ac:dyDescent="0.2">
      <c r="A22" s="5"/>
      <c r="B22" s="225" t="str">
        <f>Year1!B22</f>
        <v>Recall</v>
      </c>
      <c r="C22" s="462" t="str">
        <f>Year1!C22</f>
        <v>Blank</v>
      </c>
      <c r="D22" s="463" t="str">
        <f>Year1!D22</f>
        <v>No</v>
      </c>
      <c r="E22" s="213">
        <f>Year1!E22</f>
        <v>0</v>
      </c>
      <c r="F22" s="424">
        <f>Year3!F22*1.04</f>
        <v>0</v>
      </c>
      <c r="G22" s="215">
        <f>Year1!G22</f>
        <v>1</v>
      </c>
      <c r="H22" s="11">
        <f>IF(AND($D$22="Yes",$F$22&gt;=Reference!$L$2),(Reference!$L$2*$E$22*$G$22),$F$22*$E$22*$G$22)</f>
        <v>0</v>
      </c>
    </row>
    <row r="23" spans="1:8" x14ac:dyDescent="0.2">
      <c r="A23" s="5"/>
      <c r="C23" s="6"/>
      <c r="D23" s="6"/>
      <c r="E23" s="6"/>
      <c r="F23" s="6"/>
      <c r="G23" s="6" t="s">
        <v>9</v>
      </c>
      <c r="H23" s="21">
        <f>IF(Year1!H8=1,0,IF(Year1!H8=2,0,IF(Year1!H8=3,0,SUM(H12:H22))))</f>
        <v>0</v>
      </c>
    </row>
    <row r="24" spans="1:8" x14ac:dyDescent="0.2">
      <c r="A24" s="4" t="s">
        <v>10</v>
      </c>
      <c r="H24" s="9"/>
    </row>
    <row r="25" spans="1:8" x14ac:dyDescent="0.2">
      <c r="A25" s="5"/>
      <c r="B25" s="13" t="s">
        <v>11</v>
      </c>
      <c r="C25" s="216">
        <f>Year1!C25</f>
        <v>0</v>
      </c>
      <c r="D25" s="216"/>
      <c r="E25" s="6"/>
      <c r="F25" s="6"/>
      <c r="G25" s="6"/>
      <c r="H25" s="11"/>
    </row>
    <row r="26" spans="1:8" x14ac:dyDescent="0.2">
      <c r="A26" s="5"/>
      <c r="B26" s="6"/>
      <c r="C26" s="451" t="str">
        <f>IF(Year3!C26="GSR Step I","GSR Step II",IF(Year3!C26="GSR Step II","GSR Step III",IF(Year3!C26="GSR Step III","GSR Step III",IF(Year3!C26="GSR Step IV","GSR Step IV",IF(Year3!C26="GSR Step V","GSR Step V",IF(Year3!C26="GSR Step VI","GSR Step VI",0))))))</f>
        <v>GSR Step III</v>
      </c>
      <c r="D26" s="454"/>
      <c r="E26" s="6"/>
      <c r="F26" s="6"/>
      <c r="G26" s="6"/>
      <c r="H26" s="11"/>
    </row>
    <row r="27" spans="1:8" x14ac:dyDescent="0.2">
      <c r="A27" s="5"/>
      <c r="B27" s="85" t="str">
        <f>IF(OR(Year4!C27="August",Year4!C27="June",Year4!C27="July - August",Year4!C27="June - August",Year4!C27="June - July"),"Summer","Academic")</f>
        <v>Summer</v>
      </c>
      <c r="C27" s="229" t="str">
        <f>Year1!C27</f>
        <v>July - August</v>
      </c>
      <c r="D27" s="229" t="str">
        <f t="array" ref="D27">INDEX(Academic_Year,MATCH($B$8&amp;$C$27,DATE_COLUMN&amp;Calendar_Months,0))</f>
        <v>2028-2029</v>
      </c>
      <c r="E27" s="60">
        <f>INDEX(Number_Months,MATCH(C27,Time_Periods,0))</f>
        <v>2</v>
      </c>
      <c r="F27" s="424">
        <f t="array" ref="F27">INDEX(Salary,MATCH(C26&amp;D27,Range1&amp;Range2,0))</f>
        <v>8572</v>
      </c>
      <c r="G27" s="208">
        <f>Year1!G27</f>
        <v>0.5</v>
      </c>
      <c r="H27" s="11">
        <f>C25*E27*F27*G27</f>
        <v>0</v>
      </c>
    </row>
    <row r="28" spans="1:8" x14ac:dyDescent="0.2">
      <c r="A28" s="5"/>
      <c r="B28" s="85" t="str">
        <f>IF(OR(Year4!C28="August",Year4!C28="June",Year4!C28="July - August",Year4!C28="June - August",Year4!C28="June - July"),"Summer","Academic")</f>
        <v>Academic</v>
      </c>
      <c r="C28" s="229" t="str">
        <f>Year1!C28</f>
        <v>September</v>
      </c>
      <c r="D28" s="229" t="str">
        <f t="array" ref="D28">INDEX(Academic_Year,MATCH($B$8&amp;$C$28,DATE_COLUMN&amp;Calendar_Months,0))</f>
        <v>2028-2029</v>
      </c>
      <c r="E28" s="60">
        <f>INDEX(Number_Months,MATCH(C28,Time_Periods,0))</f>
        <v>1</v>
      </c>
      <c r="F28" s="424">
        <f t="array" ref="F28">INDEX(Salary,MATCH(C26&amp;D28,Range1&amp;Range2,0))</f>
        <v>8572</v>
      </c>
      <c r="G28" s="208">
        <f>Year1!G28</f>
        <v>0.5</v>
      </c>
      <c r="H28" s="11">
        <f>C25*E28*F28*G28</f>
        <v>0</v>
      </c>
    </row>
    <row r="29" spans="1:8" x14ac:dyDescent="0.2">
      <c r="A29" s="5"/>
      <c r="B29" s="85" t="str">
        <f>IF(OR(Year4!C29="August",Year4!C29="June",Year4!C29="July - August",Year4!C29="June - August",Year4!C29="June - July"),"Summer","Academic")</f>
        <v>Academic</v>
      </c>
      <c r="C29" s="229" t="str">
        <f>Year1!C29</f>
        <v>October - December</v>
      </c>
      <c r="D29" s="229" t="str">
        <f t="array" ref="D29">INDEX(Academic_Year,MATCH($B$8&amp;$C$29,DATE_COLUMN&amp;Calendar_Months,0))</f>
        <v>2029-2030</v>
      </c>
      <c r="E29" s="60">
        <f>INDEX(Number_Months,MATCH(C29,Time_Periods,0))</f>
        <v>3</v>
      </c>
      <c r="F29" s="424">
        <f t="array" ref="F29">INDEX(Salary,MATCH(C26&amp;D29,Range1&amp;Range2,0))</f>
        <v>9121</v>
      </c>
      <c r="G29" s="208">
        <f>Year1!G29</f>
        <v>0.5</v>
      </c>
      <c r="H29" s="11">
        <f>C25*E29*F29*G29</f>
        <v>0</v>
      </c>
    </row>
    <row r="30" spans="1:8" x14ac:dyDescent="0.2">
      <c r="A30" s="5"/>
      <c r="B30" s="85" t="str">
        <f>IF(OR(Year4!C30="August",Year4!C30="June",Year4!C30="July - August",Year4!C30="June - August",Year4!C30="June - July"),"Summer","Academic")</f>
        <v>Academic</v>
      </c>
      <c r="C30" s="229" t="str">
        <f>Year1!C30</f>
        <v>January - May</v>
      </c>
      <c r="D30" s="229" t="str">
        <f t="array" ref="D30">INDEX(Academic_Year,MATCH($B$8&amp;$C$30,DATE_COLUMN&amp;Calendar_Months,0))</f>
        <v>2029-2030</v>
      </c>
      <c r="E30" s="60">
        <f>INDEX(Number_Months,MATCH(C30,Time_Periods,0))</f>
        <v>5</v>
      </c>
      <c r="F30" s="424">
        <f t="array" ref="F30">INDEX(Salary,MATCH(C26&amp;D30,Range1&amp;Range2,0))</f>
        <v>9121</v>
      </c>
      <c r="G30" s="208">
        <f>Year1!G30</f>
        <v>0.5</v>
      </c>
      <c r="H30" s="11">
        <f>C25*E30*F30*G30</f>
        <v>0</v>
      </c>
    </row>
    <row r="31" spans="1:8" x14ac:dyDescent="0.2">
      <c r="A31" s="5"/>
      <c r="B31" s="85" t="str">
        <f>IF(OR(Year4!C31="August",Year4!C31="June",Year4!C31="July - August",Year4!C31="June - August",Year4!C31="June - July"),"Summer","Academic")</f>
        <v>Summer</v>
      </c>
      <c r="C31" s="229" t="str">
        <f>Year1!C31</f>
        <v>June</v>
      </c>
      <c r="D31" s="229" t="str">
        <f t="array" ref="D31">INDEX(Academic_Year,MATCH($B$8&amp;$C$31,DATE_COLUMN&amp;Calendar_Months,0))</f>
        <v>2029-2030</v>
      </c>
      <c r="E31" s="60">
        <f>INDEX(Number_Months,MATCH(C31,Time_Periods,0))</f>
        <v>1</v>
      </c>
      <c r="F31" s="424">
        <f t="array" ref="F31">INDEX(Salary,MATCH(C26&amp;D31,Range1&amp;Range2,0))</f>
        <v>9121</v>
      </c>
      <c r="G31" s="208">
        <f>Year1!G31</f>
        <v>0.5</v>
      </c>
      <c r="H31" s="11">
        <f>C25*E31*F31*G31</f>
        <v>0</v>
      </c>
    </row>
    <row r="32" spans="1:8" x14ac:dyDescent="0.2">
      <c r="A32" s="5"/>
      <c r="B32" s="6"/>
      <c r="C32" s="6"/>
      <c r="D32" s="6"/>
      <c r="E32" s="60">
        <f>SUM(E27:E31)</f>
        <v>12</v>
      </c>
      <c r="F32" s="22"/>
      <c r="G32" s="59" t="s">
        <v>9</v>
      </c>
      <c r="H32" s="58">
        <f>SUM(H27:H31)</f>
        <v>0</v>
      </c>
    </row>
    <row r="33" spans="1:8" x14ac:dyDescent="0.2">
      <c r="A33" s="5"/>
      <c r="B33" s="13" t="s">
        <v>11</v>
      </c>
      <c r="C33" s="216">
        <f>Year1!C33</f>
        <v>0</v>
      </c>
      <c r="D33" s="216"/>
      <c r="E33" s="6"/>
      <c r="F33" s="6"/>
      <c r="G33" s="6"/>
      <c r="H33" s="11"/>
    </row>
    <row r="34" spans="1:8" x14ac:dyDescent="0.2">
      <c r="A34" s="5"/>
      <c r="B34" s="6"/>
      <c r="C34" s="451" t="str">
        <f>IF(Year3!C34="GSR Step I","GSR Step II",IF(Year3!C34="GSR Step II","GSR Step III",IF(Year3!C34="GSR Step III","GSR Step III",IF(Year3!C34="GSR Step IV","GSR Step IV",IF(Year3!C34="GSR Step V","GSR Step V",IF(Year3!C34="GSR Step VI","GSR Step VI",0))))))</f>
        <v>GSR Step VI</v>
      </c>
      <c r="D34" s="454"/>
      <c r="E34" s="6"/>
      <c r="F34" s="6"/>
      <c r="G34" s="6"/>
      <c r="H34" s="11"/>
    </row>
    <row r="35" spans="1:8" x14ac:dyDescent="0.2">
      <c r="A35" s="5"/>
      <c r="B35" s="85" t="str">
        <f>IF(OR(Year4!C35="August",Year4!C35="June",Year4!C35="July - August",Year4!C35="June - August",Year4!C35="June - July"),"Summer","Academic")</f>
        <v>Summer</v>
      </c>
      <c r="C35" s="229" t="str">
        <f>Year1!C35</f>
        <v>July - August</v>
      </c>
      <c r="D35" s="229" t="str">
        <f t="array" ref="D35">INDEX(Academic_Year,MATCH($B$8&amp;$C$35,DATE_COLUMN&amp;Calendar_Months,0))</f>
        <v>2028-2029</v>
      </c>
      <c r="E35" s="60">
        <f>INDEX(Number_Months,MATCH(C35,Time_Periods,0))</f>
        <v>2</v>
      </c>
      <c r="F35" s="424">
        <f t="array" ref="F35">INDEX(Salary,MATCH(C34&amp;D35,Range1&amp;Range2,0))</f>
        <v>10724</v>
      </c>
      <c r="G35" s="208">
        <f>Year1!G35</f>
        <v>0.5</v>
      </c>
      <c r="H35" s="11">
        <f>C33*E35*F35*G35</f>
        <v>0</v>
      </c>
    </row>
    <row r="36" spans="1:8" x14ac:dyDescent="0.2">
      <c r="A36" s="5"/>
      <c r="B36" s="85" t="str">
        <f>IF(OR(Year4!C36="August",Year4!C36="June",Year4!C36="July - August",Year4!C36="June - August",Year4!C36="June - July"),"Summer","Academic")</f>
        <v>Academic</v>
      </c>
      <c r="C36" s="229" t="str">
        <f>Year1!C36</f>
        <v>September</v>
      </c>
      <c r="D36" s="229" t="str">
        <f t="array" ref="D36">INDEX(Academic_Year,MATCH($B$8&amp;$C$36,DATE_COLUMN&amp;Calendar_Months,0))</f>
        <v>2028-2029</v>
      </c>
      <c r="E36" s="60">
        <f>INDEX(Number_Months,MATCH(C36,Time_Periods,0))</f>
        <v>1</v>
      </c>
      <c r="F36" s="424">
        <f t="array" ref="F36">INDEX(Salary,MATCH(C34&amp;D36,Range1&amp;Range2,0))</f>
        <v>10724</v>
      </c>
      <c r="G36" s="208">
        <f>Year1!G36</f>
        <v>0.5</v>
      </c>
      <c r="H36" s="11">
        <f>C33*E36*F36*G36</f>
        <v>0</v>
      </c>
    </row>
    <row r="37" spans="1:8" x14ac:dyDescent="0.2">
      <c r="A37" s="5"/>
      <c r="B37" s="85" t="str">
        <f>IF(OR(Year4!C37="August",Year4!C37="June",Year4!C37="July - August",Year4!C37="June - August",Year4!C37="June - July"),"Summer","Academic")</f>
        <v>Academic</v>
      </c>
      <c r="C37" s="229" t="str">
        <f>Year1!C37</f>
        <v>October - December</v>
      </c>
      <c r="D37" s="229" t="str">
        <f t="array" ref="D37">INDEX(Academic_Year,MATCH($B$8&amp;$C$37,DATE_COLUMN&amp;Calendar_Months,0))</f>
        <v>2029-2030</v>
      </c>
      <c r="E37" s="60">
        <f>INDEX(Number_Months,MATCH(C37,Time_Periods,0))</f>
        <v>3</v>
      </c>
      <c r="F37" s="424">
        <f t="array" ref="F37">INDEX(Salary,MATCH(C34&amp;D37,Range1&amp;Range2,0))</f>
        <v>11410</v>
      </c>
      <c r="G37" s="208">
        <f>Year1!G37</f>
        <v>0.5</v>
      </c>
      <c r="H37" s="11">
        <f>C33*E37*F37*G37</f>
        <v>0</v>
      </c>
    </row>
    <row r="38" spans="1:8" x14ac:dyDescent="0.2">
      <c r="A38" s="5"/>
      <c r="B38" s="85" t="str">
        <f>IF(OR(Year4!C38="August",Year4!C38="June",Year4!C38="July - August",Year4!C38="June - August",Year4!C38="June - July"),"Summer","Academic")</f>
        <v>Academic</v>
      </c>
      <c r="C38" s="229" t="str">
        <f>Year1!C38</f>
        <v>January - May</v>
      </c>
      <c r="D38" s="229" t="str">
        <f t="array" ref="D38">INDEX(Academic_Year,MATCH($B$8&amp;$C$38,DATE_COLUMN&amp;Calendar_Months,0))</f>
        <v>2029-2030</v>
      </c>
      <c r="E38" s="60">
        <f>INDEX(Number_Months,MATCH(C38,Time_Periods,0))</f>
        <v>5</v>
      </c>
      <c r="F38" s="424">
        <f t="array" ref="F38">INDEX(Salary,MATCH(C34&amp;D38,Range1&amp;Range2,0))</f>
        <v>11410</v>
      </c>
      <c r="G38" s="208">
        <f>Year1!G38</f>
        <v>0.5</v>
      </c>
      <c r="H38" s="11">
        <f>C33*E38*F38*G38</f>
        <v>0</v>
      </c>
    </row>
    <row r="39" spans="1:8" x14ac:dyDescent="0.2">
      <c r="A39" s="5"/>
      <c r="B39" s="85" t="str">
        <f>IF(OR(Year4!C39="August",Year4!C39="June",Year4!C39="July - August",Year4!C39="June - August",Year4!C39="June - July"),"Summer","Academic")</f>
        <v>Summer</v>
      </c>
      <c r="C39" s="229" t="str">
        <f>Year1!C39</f>
        <v>June</v>
      </c>
      <c r="D39" s="229" t="str">
        <f t="array" ref="D39">INDEX(Academic_Year,MATCH($B$8&amp;$C$39,DATE_COLUMN&amp;Calendar_Months,0))</f>
        <v>2029-2030</v>
      </c>
      <c r="E39" s="60">
        <f>INDEX(Number_Months,MATCH(C39,Time_Periods,0))</f>
        <v>1</v>
      </c>
      <c r="F39" s="424">
        <f t="array" ref="F39">INDEX(Salary,MATCH(C34&amp;D39,Range1&amp;Range2,0))</f>
        <v>11410</v>
      </c>
      <c r="G39" s="208">
        <f>Year1!G39</f>
        <v>0.5</v>
      </c>
      <c r="H39" s="11">
        <f>C33*E39*F39*G39</f>
        <v>0</v>
      </c>
    </row>
    <row r="40" spans="1:8" x14ac:dyDescent="0.2">
      <c r="A40" s="5"/>
      <c r="B40" s="6"/>
      <c r="C40" s="6"/>
      <c r="D40" s="6"/>
      <c r="E40" s="60">
        <f>SUM(E35:E39)</f>
        <v>12</v>
      </c>
      <c r="F40" s="22"/>
      <c r="G40" s="22" t="s">
        <v>112</v>
      </c>
      <c r="H40" s="58">
        <f>SUM(H35:H39)</f>
        <v>0</v>
      </c>
    </row>
    <row r="41" spans="1:8" x14ac:dyDescent="0.2">
      <c r="A41" s="5"/>
      <c r="B41" s="13" t="s">
        <v>11</v>
      </c>
      <c r="C41" s="216">
        <f>Year1!C41</f>
        <v>0</v>
      </c>
      <c r="D41" s="216"/>
      <c r="E41" s="6"/>
      <c r="F41" s="6"/>
      <c r="G41" s="6"/>
      <c r="H41" s="11"/>
    </row>
    <row r="42" spans="1:8" x14ac:dyDescent="0.2">
      <c r="A42" s="5"/>
      <c r="B42" s="6"/>
      <c r="C42" s="451" t="str">
        <f>IF(Year3!C42="GSR Step I","GSR Step II",IF(Year3!C42="GSR Step II","GSR Step III",IF(Year3!C42="GSR Step III","GSR Step III",IF(Year3!C42="GSR Step IV","GSR Step IV",IF(Year3!C42="GSR Step V","GSR Step V",IF(Year3!C42="GSR Step VI","GSR Step VI",0))))))</f>
        <v>GSR Step III</v>
      </c>
      <c r="D42" s="454"/>
      <c r="E42" s="6"/>
      <c r="F42" s="6"/>
      <c r="G42" s="6"/>
      <c r="H42" s="11"/>
    </row>
    <row r="43" spans="1:8" x14ac:dyDescent="0.2">
      <c r="A43" s="5"/>
      <c r="B43" s="85" t="str">
        <f>IF(OR(Year4!C43="August",Year4!C43="June",Year4!C43="July - August",Year4!C43="June - August",Year4!C43="June - July"),"Summer","Academic")</f>
        <v>Summer</v>
      </c>
      <c r="C43" s="229" t="str">
        <f>Year1!C43</f>
        <v>July - August</v>
      </c>
      <c r="D43" s="229" t="str">
        <f t="array" ref="D43">INDEX(Academic_Year,MATCH($B$8&amp;$C$35,DATE_COLUMN&amp;Calendar_Months,0))</f>
        <v>2028-2029</v>
      </c>
      <c r="E43" s="60">
        <f>INDEX(Number_Months,MATCH(C43,Time_Periods,0))</f>
        <v>2</v>
      </c>
      <c r="F43" s="424">
        <f t="array" ref="F43">INDEX(Salary,MATCH(C42&amp;D43,Range1&amp;Range2,0))</f>
        <v>8572</v>
      </c>
      <c r="G43" s="208">
        <f>Year1!G43</f>
        <v>0.5</v>
      </c>
      <c r="H43" s="11">
        <f>C41*E43*F43*G43</f>
        <v>0</v>
      </c>
    </row>
    <row r="44" spans="1:8" x14ac:dyDescent="0.2">
      <c r="A44" s="5"/>
      <c r="B44" s="85" t="str">
        <f>IF(OR(Year4!C44="August",Year4!C44="June",Year4!C44="July - August",Year4!C44="June - August",Year4!C44="June - July"),"Summer","Academic")</f>
        <v>Academic</v>
      </c>
      <c r="C44" s="229" t="str">
        <f>Year1!C44</f>
        <v>September</v>
      </c>
      <c r="D44" s="229" t="str">
        <f t="array" ref="D44">INDEX(Academic_Year,MATCH($B$8&amp;$C$36,DATE_COLUMN&amp;Calendar_Months,0))</f>
        <v>2028-2029</v>
      </c>
      <c r="E44" s="60">
        <f>INDEX(Number_Months,MATCH(C44,Time_Periods,0))</f>
        <v>1</v>
      </c>
      <c r="F44" s="424">
        <f t="array" ref="F44">INDEX(Salary,MATCH(C42&amp;D44,Range1&amp;Range2,0))</f>
        <v>8572</v>
      </c>
      <c r="G44" s="208">
        <f>Year1!G44</f>
        <v>0.5</v>
      </c>
      <c r="H44" s="11">
        <f>C41*E44*F44*G44</f>
        <v>0</v>
      </c>
    </row>
    <row r="45" spans="1:8" x14ac:dyDescent="0.2">
      <c r="A45" s="5"/>
      <c r="B45" s="85" t="str">
        <f>IF(OR(Year4!C45="August",Year4!C45="June",Year4!C45="July - August",Year4!C45="June - August",Year4!C45="June - July"),"Summer","Academic")</f>
        <v>Academic</v>
      </c>
      <c r="C45" s="229" t="str">
        <f>Year1!C45</f>
        <v>October - December</v>
      </c>
      <c r="D45" s="229" t="str">
        <f t="array" ref="D45">INDEX(Academic_Year,MATCH($B$8&amp;$C$37,DATE_COLUMN&amp;Calendar_Months,0))</f>
        <v>2029-2030</v>
      </c>
      <c r="E45" s="60">
        <f>INDEX(Number_Months,MATCH(C45,Time_Periods,0))</f>
        <v>3</v>
      </c>
      <c r="F45" s="424">
        <f t="array" ref="F45">INDEX(Salary,MATCH(C42&amp;D45,Range1&amp;Range2,0))</f>
        <v>9121</v>
      </c>
      <c r="G45" s="208">
        <f>Year1!G45</f>
        <v>0.5</v>
      </c>
      <c r="H45" s="11">
        <f>C41*E45*F45*G45</f>
        <v>0</v>
      </c>
    </row>
    <row r="46" spans="1:8" x14ac:dyDescent="0.2">
      <c r="A46" s="5"/>
      <c r="B46" s="85" t="str">
        <f>IF(OR(Year4!C46="August",Year4!C46="June",Year4!C46="July - August",Year4!C46="June - August",Year4!C46="June - July"),"Summer","Academic")</f>
        <v>Academic</v>
      </c>
      <c r="C46" s="229" t="str">
        <f>Year1!C46</f>
        <v>January - May</v>
      </c>
      <c r="D46" s="229" t="str">
        <f t="array" ref="D46">INDEX(Academic_Year,MATCH($B$8&amp;$C$38,DATE_COLUMN&amp;Calendar_Months,0))</f>
        <v>2029-2030</v>
      </c>
      <c r="E46" s="60">
        <f>INDEX(Number_Months,MATCH(C46,Time_Periods,0))</f>
        <v>5</v>
      </c>
      <c r="F46" s="424">
        <f t="array" ref="F46">INDEX(Salary,MATCH(C42&amp;D46,Range1&amp;Range2,0))</f>
        <v>9121</v>
      </c>
      <c r="G46" s="208">
        <f>Year1!G46</f>
        <v>0.5</v>
      </c>
      <c r="H46" s="11">
        <f>C41*E46*F46*G46</f>
        <v>0</v>
      </c>
    </row>
    <row r="47" spans="1:8" x14ac:dyDescent="0.2">
      <c r="A47" s="5"/>
      <c r="B47" s="85" t="str">
        <f>IF(OR(Year4!C47="August",Year4!C47="June",Year4!C47="July - August",Year4!C47="June - August",Year4!C47="June - July"),"Summer","Academic")</f>
        <v>Summer</v>
      </c>
      <c r="C47" s="229" t="str">
        <f>Year1!C47</f>
        <v>June</v>
      </c>
      <c r="D47" s="229" t="str">
        <f t="array" ref="D47">INDEX(Academic_Year,MATCH($B$8&amp;$C$39,DATE_COLUMN&amp;Calendar_Months,0))</f>
        <v>2029-2030</v>
      </c>
      <c r="E47" s="60">
        <f>INDEX(Number_Months,MATCH(C47,Time_Periods,0))</f>
        <v>1</v>
      </c>
      <c r="F47" s="424">
        <f t="array" ref="F47">INDEX(Salary,MATCH(C42&amp;D47,Range1&amp;Range2,0))</f>
        <v>9121</v>
      </c>
      <c r="G47" s="208">
        <f>Year1!G47</f>
        <v>0.5</v>
      </c>
      <c r="H47" s="11">
        <f>C41*E47*F47*G47</f>
        <v>0</v>
      </c>
    </row>
    <row r="48" spans="1:8" x14ac:dyDescent="0.2">
      <c r="A48" s="5"/>
      <c r="B48" s="6"/>
      <c r="C48" s="6"/>
      <c r="D48" s="6"/>
      <c r="E48" s="60">
        <f>SUM(E43:E47)</f>
        <v>12</v>
      </c>
      <c r="F48" s="22"/>
      <c r="G48" s="22" t="s">
        <v>112</v>
      </c>
      <c r="H48" s="58">
        <f>SUM(H43:H47)</f>
        <v>0</v>
      </c>
    </row>
    <row r="49" spans="1:8" x14ac:dyDescent="0.2">
      <c r="A49" s="5"/>
      <c r="B49" s="13" t="s">
        <v>11</v>
      </c>
      <c r="C49" s="216">
        <f>Year1!C49</f>
        <v>0</v>
      </c>
      <c r="D49" s="216"/>
      <c r="E49" s="6"/>
      <c r="F49" s="6"/>
      <c r="G49" s="6"/>
      <c r="H49" s="11"/>
    </row>
    <row r="50" spans="1:8" x14ac:dyDescent="0.2">
      <c r="A50" s="5"/>
      <c r="B50" s="6"/>
      <c r="C50" s="451" t="str">
        <f>IF(Year3!C50="GSR Step I","GSR Step II",IF(Year3!C50="GSR Step II","GSR Step III",IF(Year3!C50="GSR Step III","GSR Step III",IF(Year3!C50="GSR Step IV","GSR Step IV",IF(Year3!C50="GSR Step V","GSR Step V",IF(Year3!C50="GSR Step VI","GSR Step VI",0))))))</f>
        <v>GSR Step III</v>
      </c>
      <c r="D50" s="454"/>
      <c r="E50" s="6"/>
      <c r="F50" s="6"/>
      <c r="G50" s="6"/>
      <c r="H50" s="11"/>
    </row>
    <row r="51" spans="1:8" x14ac:dyDescent="0.2">
      <c r="A51" s="5"/>
      <c r="B51" s="85" t="str">
        <f>IF(OR(Year4!C51="August",Year4!C51="June",Year4!C51="July - August",Year4!C51="June - August",Year4!C51="June - July"),"Summer","Academic")</f>
        <v>Summer</v>
      </c>
      <c r="C51" s="229" t="str">
        <f>Year1!C51</f>
        <v>July - August</v>
      </c>
      <c r="D51" s="229" t="str">
        <f t="array" ref="D51">INDEX(Academic_Year,MATCH($B$8&amp;$C$35,DATE_COLUMN&amp;Calendar_Months,0))</f>
        <v>2028-2029</v>
      </c>
      <c r="E51" s="60">
        <f>INDEX(Number_Months,MATCH(C51,Time_Periods,0))</f>
        <v>2</v>
      </c>
      <c r="F51" s="424">
        <f t="array" ref="F51">INDEX(Salary,MATCH(C50&amp;D51,Range1&amp;Range2,0))</f>
        <v>8572</v>
      </c>
      <c r="G51" s="208">
        <f>Year1!G51</f>
        <v>0.5</v>
      </c>
      <c r="H51" s="11">
        <f>C49*E51*F51*G51</f>
        <v>0</v>
      </c>
    </row>
    <row r="52" spans="1:8" x14ac:dyDescent="0.2">
      <c r="A52" s="5"/>
      <c r="B52" s="85" t="str">
        <f>IF(OR(Year4!C52="August",Year4!C52="June",Year4!C52="July - August",Year4!C52="June - August",Year4!C52="June - July"),"Summer","Academic")</f>
        <v>Academic</v>
      </c>
      <c r="C52" s="229" t="str">
        <f>Year1!C52</f>
        <v>September</v>
      </c>
      <c r="D52" s="229" t="str">
        <f t="array" ref="D52">INDEX(Academic_Year,MATCH($B$8&amp;$C$36,DATE_COLUMN&amp;Calendar_Months,0))</f>
        <v>2028-2029</v>
      </c>
      <c r="E52" s="60">
        <f>INDEX(Number_Months,MATCH(C52,Time_Periods,0))</f>
        <v>1</v>
      </c>
      <c r="F52" s="424">
        <f t="array" ref="F52">INDEX(Salary,MATCH(C50&amp;D52,Range1&amp;Range2,0))</f>
        <v>8572</v>
      </c>
      <c r="G52" s="208">
        <f>Year1!G52</f>
        <v>0.5</v>
      </c>
      <c r="H52" s="11">
        <f>C49*E52*F52*G52</f>
        <v>0</v>
      </c>
    </row>
    <row r="53" spans="1:8" x14ac:dyDescent="0.2">
      <c r="A53" s="5"/>
      <c r="B53" s="85" t="str">
        <f>IF(OR(Year4!C53="August",Year4!C53="June",Year4!C53="July - August",Year4!C53="June - August",Year4!C53="June - July"),"Summer","Academic")</f>
        <v>Academic</v>
      </c>
      <c r="C53" s="229" t="str">
        <f>Year1!C53</f>
        <v>October - December</v>
      </c>
      <c r="D53" s="229" t="str">
        <f t="array" ref="D53">INDEX(Academic_Year,MATCH($B$8&amp;$C$37,DATE_COLUMN&amp;Calendar_Months,0))</f>
        <v>2029-2030</v>
      </c>
      <c r="E53" s="60">
        <f>INDEX(Number_Months,MATCH(C53,Time_Periods,0))</f>
        <v>3</v>
      </c>
      <c r="F53" s="424">
        <f t="array" ref="F53">INDEX(Salary,MATCH(C50&amp;D53,Range1&amp;Range2,0))</f>
        <v>9121</v>
      </c>
      <c r="G53" s="208">
        <f>Year1!G53</f>
        <v>0.5</v>
      </c>
      <c r="H53" s="11">
        <f>C49*E53*F53*G53</f>
        <v>0</v>
      </c>
    </row>
    <row r="54" spans="1:8" x14ac:dyDescent="0.2">
      <c r="A54" s="5"/>
      <c r="B54" s="85" t="str">
        <f>IF(OR(Year4!C54="August",Year4!C54="June",Year4!C54="July - August",Year4!C54="June - August",Year4!C54="June - July"),"Summer","Academic")</f>
        <v>Academic</v>
      </c>
      <c r="C54" s="229" t="str">
        <f>Year1!C54</f>
        <v>January - May</v>
      </c>
      <c r="D54" s="229" t="str">
        <f t="array" ref="D54">INDEX(Academic_Year,MATCH($B$8&amp;$C$38,DATE_COLUMN&amp;Calendar_Months,0))</f>
        <v>2029-2030</v>
      </c>
      <c r="E54" s="60">
        <f>INDEX(Number_Months,MATCH(C54,Time_Periods,0))</f>
        <v>5</v>
      </c>
      <c r="F54" s="424">
        <f t="array" ref="F54">INDEX(Salary,MATCH(C50&amp;D54,Range1&amp;Range2,0))</f>
        <v>9121</v>
      </c>
      <c r="G54" s="208">
        <f>Year1!G54</f>
        <v>0.5</v>
      </c>
      <c r="H54" s="11">
        <f>C49*E54*F54*G54</f>
        <v>0</v>
      </c>
    </row>
    <row r="55" spans="1:8" x14ac:dyDescent="0.2">
      <c r="A55" s="5"/>
      <c r="B55" s="85" t="str">
        <f>IF(OR(Year4!C55="August",Year4!C55="June",Year4!C55="July - August",Year4!C55="June - August",Year4!C55="June - July"),"Summer","Academic")</f>
        <v>Summer</v>
      </c>
      <c r="C55" s="229" t="str">
        <f>Year1!C55</f>
        <v>June</v>
      </c>
      <c r="D55" s="229" t="str">
        <f t="array" ref="D55">INDEX(Academic_Year,MATCH($B$8&amp;$C$39,DATE_COLUMN&amp;Calendar_Months,0))</f>
        <v>2029-2030</v>
      </c>
      <c r="E55" s="60">
        <f>INDEX(Number_Months,MATCH(C55,Time_Periods,0))</f>
        <v>1</v>
      </c>
      <c r="F55" s="424">
        <f t="array" ref="F55">INDEX(Salary,MATCH(C50&amp;D55,Range1&amp;Range2,0))</f>
        <v>9121</v>
      </c>
      <c r="G55" s="208">
        <f>Year1!G55</f>
        <v>0.5</v>
      </c>
      <c r="H55" s="11">
        <f>C49*E55*F55*G55</f>
        <v>0</v>
      </c>
    </row>
    <row r="56" spans="1:8" x14ac:dyDescent="0.2">
      <c r="A56" s="5"/>
      <c r="B56" s="6"/>
      <c r="C56" s="6"/>
      <c r="D56" s="6"/>
      <c r="E56" s="60">
        <f>SUM(E51:E55)</f>
        <v>12</v>
      </c>
      <c r="F56" s="22"/>
      <c r="G56" s="22" t="s">
        <v>112</v>
      </c>
      <c r="H56" s="58">
        <f>SUM(H51:H55)</f>
        <v>0</v>
      </c>
    </row>
    <row r="57" spans="1:8" x14ac:dyDescent="0.2">
      <c r="A57" s="5"/>
      <c r="B57" s="13" t="s">
        <v>11</v>
      </c>
      <c r="C57" s="216">
        <f>Year1!C57</f>
        <v>0</v>
      </c>
      <c r="D57" s="216"/>
      <c r="E57" s="6"/>
      <c r="F57" s="6"/>
      <c r="G57" s="6"/>
      <c r="H57" s="11"/>
    </row>
    <row r="58" spans="1:8" x14ac:dyDescent="0.2">
      <c r="A58" s="5"/>
      <c r="B58" s="6"/>
      <c r="C58" s="451" t="str">
        <f>IF(Year3!C58="GSR Step I","GSR Step II",IF(Year3!C58="GSR Step II","GSR Step III",IF(Year3!C58="GSR Step III","GSR Step III",IF(Year3!C58="GSR Step IV","GSR Step IV",IF(Year3!C58="GSR Step V","GSR Step V",IF(Year3!C58="GSR Step VI","GSR Step VI",0))))))</f>
        <v>GSR Step III</v>
      </c>
      <c r="D58" s="454"/>
      <c r="E58" s="6"/>
      <c r="F58" s="6"/>
      <c r="G58" s="6"/>
      <c r="H58" s="11"/>
    </row>
    <row r="59" spans="1:8" x14ac:dyDescent="0.2">
      <c r="A59" s="5"/>
      <c r="B59" s="85" t="str">
        <f>IF(OR(Year4!C59="August",Year4!C59="June",Year4!C59="July - August",Year4!C59="June - August",Year4!C59="June - July"),"Summer","Academic")</f>
        <v>Summer</v>
      </c>
      <c r="C59" s="229" t="str">
        <f>Year1!C59</f>
        <v>July - August</v>
      </c>
      <c r="D59" s="229" t="str">
        <f t="array" ref="D59">INDEX(Academic_Year,MATCH($B$8&amp;$C$35,DATE_COLUMN&amp;Calendar_Months,0))</f>
        <v>2028-2029</v>
      </c>
      <c r="E59" s="60">
        <f>INDEX(Number_Months,MATCH(C59,Time_Periods,0))</f>
        <v>2</v>
      </c>
      <c r="F59" s="424">
        <f t="array" ref="F59">INDEX(Salary,MATCH(C58&amp;D59,Range1&amp;Range2,0))</f>
        <v>8572</v>
      </c>
      <c r="G59" s="208">
        <f>Year1!G59</f>
        <v>0.5</v>
      </c>
      <c r="H59" s="11">
        <f>C57*E59*F59*G59</f>
        <v>0</v>
      </c>
    </row>
    <row r="60" spans="1:8" x14ac:dyDescent="0.2">
      <c r="A60" s="5"/>
      <c r="B60" s="85" t="str">
        <f>IF(OR(Year4!C60="August",Year4!C60="June",Year4!C60="July - August",Year4!C60="June - August",Year4!C60="June - July"),"Summer","Academic")</f>
        <v>Academic</v>
      </c>
      <c r="C60" s="229" t="str">
        <f>Year1!C60</f>
        <v>September</v>
      </c>
      <c r="D60" s="229" t="str">
        <f t="array" ref="D60">INDEX(Academic_Year,MATCH($B$8&amp;$C$36,DATE_COLUMN&amp;Calendar_Months,0))</f>
        <v>2028-2029</v>
      </c>
      <c r="E60" s="60">
        <f>INDEX(Number_Months,MATCH(C60,Time_Periods,0))</f>
        <v>1</v>
      </c>
      <c r="F60" s="424">
        <f t="array" ref="F60">INDEX(Salary,MATCH(C58&amp;D60,Range1&amp;Range2,0))</f>
        <v>8572</v>
      </c>
      <c r="G60" s="208">
        <f>Year1!G60</f>
        <v>0.5</v>
      </c>
      <c r="H60" s="11">
        <f>C57*E60*F60*G60</f>
        <v>0</v>
      </c>
    </row>
    <row r="61" spans="1:8" x14ac:dyDescent="0.2">
      <c r="A61" s="5"/>
      <c r="B61" s="85" t="str">
        <f>IF(OR(Year4!C61="August",Year4!C61="June",Year4!C61="July - August",Year4!C61="June - August",Year4!C61="June - July"),"Summer","Academic")</f>
        <v>Academic</v>
      </c>
      <c r="C61" s="229" t="str">
        <f>Year1!C61</f>
        <v>October - December</v>
      </c>
      <c r="D61" s="229" t="str">
        <f t="array" ref="D61">INDEX(Academic_Year,MATCH($B$8&amp;$C$37,DATE_COLUMN&amp;Calendar_Months,0))</f>
        <v>2029-2030</v>
      </c>
      <c r="E61" s="60">
        <f>INDEX(Number_Months,MATCH(C61,Time_Periods,0))</f>
        <v>3</v>
      </c>
      <c r="F61" s="424">
        <f t="array" ref="F61">INDEX(Salary,MATCH(C58&amp;D61,Range1&amp;Range2,0))</f>
        <v>9121</v>
      </c>
      <c r="G61" s="208">
        <f>Year1!G61</f>
        <v>0.5</v>
      </c>
      <c r="H61" s="11">
        <f>C57*E61*F61*G61</f>
        <v>0</v>
      </c>
    </row>
    <row r="62" spans="1:8" x14ac:dyDescent="0.2">
      <c r="A62" s="5"/>
      <c r="B62" s="85" t="str">
        <f>IF(OR(Year4!C62="August",Year4!C62="June",Year4!C62="July - August",Year4!C62="June - August",Year4!C62="June - July"),"Summer","Academic")</f>
        <v>Academic</v>
      </c>
      <c r="C62" s="229" t="str">
        <f>Year1!C62</f>
        <v>January - May</v>
      </c>
      <c r="D62" s="229" t="str">
        <f t="array" ref="D62">INDEX(Academic_Year,MATCH($B$8&amp;$C$38,DATE_COLUMN&amp;Calendar_Months,0))</f>
        <v>2029-2030</v>
      </c>
      <c r="E62" s="60">
        <f>INDEX(Number_Months,MATCH(C62,Time_Periods,0))</f>
        <v>5</v>
      </c>
      <c r="F62" s="424">
        <f t="array" ref="F62">INDEX(Salary,MATCH(C58&amp;D62,Range1&amp;Range2,0))</f>
        <v>9121</v>
      </c>
      <c r="G62" s="208">
        <f>Year1!G62</f>
        <v>0.5</v>
      </c>
      <c r="H62" s="11">
        <f>C57*E62*F62*G62</f>
        <v>0</v>
      </c>
    </row>
    <row r="63" spans="1:8" x14ac:dyDescent="0.2">
      <c r="A63" s="5"/>
      <c r="B63" s="85" t="str">
        <f>IF(OR(Year4!C63="August",Year4!C63="June",Year4!C63="July - August",Year4!C63="June - August",Year4!C63="June - July"),"Summer","Academic")</f>
        <v>Summer</v>
      </c>
      <c r="C63" s="229" t="str">
        <f>Year1!C63</f>
        <v>June</v>
      </c>
      <c r="D63" s="229" t="str">
        <f t="array" ref="D63">INDEX(Academic_Year,MATCH($B$8&amp;$C$39,DATE_COLUMN&amp;Calendar_Months,0))</f>
        <v>2029-2030</v>
      </c>
      <c r="E63" s="60">
        <f>INDEX(Number_Months,MATCH(C63,Time_Periods,0))</f>
        <v>1</v>
      </c>
      <c r="F63" s="424">
        <f t="array" ref="F63">INDEX(Salary,MATCH(C58&amp;D63,Range1&amp;Range2,0))</f>
        <v>9121</v>
      </c>
      <c r="G63" s="208">
        <f>Year1!G63</f>
        <v>0.5</v>
      </c>
      <c r="H63" s="11">
        <f>C57*E63*F63*G63</f>
        <v>0</v>
      </c>
    </row>
    <row r="64" spans="1:8" x14ac:dyDescent="0.2">
      <c r="A64" s="5"/>
      <c r="B64" s="6"/>
      <c r="C64" s="6"/>
      <c r="D64" s="6"/>
      <c r="E64" s="60">
        <f>SUM(E59:E63)</f>
        <v>12</v>
      </c>
      <c r="F64" s="22"/>
      <c r="G64" s="22" t="s">
        <v>112</v>
      </c>
      <c r="H64" s="58">
        <f>SUM(H59:H63)</f>
        <v>0</v>
      </c>
    </row>
    <row r="65" spans="1:8" x14ac:dyDescent="0.2">
      <c r="A65" s="5"/>
      <c r="B65" s="13" t="s">
        <v>11</v>
      </c>
      <c r="C65" s="216">
        <f>Year1!C65</f>
        <v>0</v>
      </c>
      <c r="D65" s="216"/>
      <c r="E65" s="6"/>
      <c r="F65" s="6"/>
      <c r="G65" s="6"/>
      <c r="H65" s="11"/>
    </row>
    <row r="66" spans="1:8" x14ac:dyDescent="0.2">
      <c r="A66" s="5"/>
      <c r="B66" s="6"/>
      <c r="C66" s="451" t="str">
        <f>IF(Year3!C66="GSR Step I","GSR Step II",IF(Year3!C66="GSR Step II","GSR Step III",IF(Year3!C66="GSR Step III","GSR Step III",IF(Year3!C66="GSR Step IV","GSR Step IV",IF(Year3!C66="GSR Step V","GSR Step V",IF(Year3!C66="GSR Step VI","GSR Step VI",0))))))</f>
        <v>GSR Step III</v>
      </c>
      <c r="D66" s="454"/>
      <c r="E66" s="6"/>
      <c r="F66" s="6"/>
      <c r="G66" s="6"/>
      <c r="H66" s="11"/>
    </row>
    <row r="67" spans="1:8" x14ac:dyDescent="0.2">
      <c r="A67" s="5"/>
      <c r="B67" s="85" t="str">
        <f>IF(OR(Year4!C67="August",Year4!C67="June",Year4!C67="July - August",Year4!C67="June - August",Year4!C67="June - July"),"Summer","Academic")</f>
        <v>Summer</v>
      </c>
      <c r="C67" s="229" t="str">
        <f>Year1!C67</f>
        <v>July - August</v>
      </c>
      <c r="D67" s="229" t="str">
        <f t="array" ref="D67">INDEX(Academic_Year,MATCH($B$8&amp;$C$35,DATE_COLUMN&amp;Calendar_Months,0))</f>
        <v>2028-2029</v>
      </c>
      <c r="E67" s="60">
        <f>INDEX(Number_Months,MATCH(C67,Time_Periods,0))</f>
        <v>2</v>
      </c>
      <c r="F67" s="424">
        <f t="array" ref="F67">INDEX(Salary,MATCH(C66&amp;D67,Range1&amp;Range2,0))</f>
        <v>8572</v>
      </c>
      <c r="G67" s="208">
        <f>Year1!G67</f>
        <v>0.5</v>
      </c>
      <c r="H67" s="11">
        <f>C65*E67*F67*G67</f>
        <v>0</v>
      </c>
    </row>
    <row r="68" spans="1:8" x14ac:dyDescent="0.2">
      <c r="A68" s="5"/>
      <c r="B68" s="85" t="str">
        <f>IF(OR(Year4!C68="August",Year4!C68="June",Year4!C68="July - August",Year4!C68="June - August",Year4!C68="June - July"),"Summer","Academic")</f>
        <v>Academic</v>
      </c>
      <c r="C68" s="229" t="str">
        <f>Year1!C68</f>
        <v>September</v>
      </c>
      <c r="D68" s="229" t="str">
        <f t="array" ref="D68">INDEX(Academic_Year,MATCH($B$8&amp;$C$36,DATE_COLUMN&amp;Calendar_Months,0))</f>
        <v>2028-2029</v>
      </c>
      <c r="E68" s="60">
        <f>INDEX(Number_Months,MATCH(C68,Time_Periods,0))</f>
        <v>1</v>
      </c>
      <c r="F68" s="424">
        <f t="array" ref="F68">INDEX(Salary,MATCH(C66&amp;D68,Range1&amp;Range2,0))</f>
        <v>8572</v>
      </c>
      <c r="G68" s="208">
        <f>Year1!G68</f>
        <v>0.5</v>
      </c>
      <c r="H68" s="11">
        <f>C65*E68*F68*G68</f>
        <v>0</v>
      </c>
    </row>
    <row r="69" spans="1:8" x14ac:dyDescent="0.2">
      <c r="A69" s="5"/>
      <c r="B69" s="85" t="str">
        <f>IF(OR(Year4!C69="August",Year4!C69="June",Year4!C69="July - August",Year4!C69="June - August",Year4!C69="June - July"),"Summer","Academic")</f>
        <v>Academic</v>
      </c>
      <c r="C69" s="229" t="str">
        <f>Year1!C69</f>
        <v>October - December</v>
      </c>
      <c r="D69" s="229" t="str">
        <f t="array" ref="D69">INDEX(Academic_Year,MATCH($B$8&amp;$C$37,DATE_COLUMN&amp;Calendar_Months,0))</f>
        <v>2029-2030</v>
      </c>
      <c r="E69" s="60">
        <f>INDEX(Number_Months,MATCH(C69,Time_Periods,0))</f>
        <v>3</v>
      </c>
      <c r="F69" s="424">
        <f t="array" ref="F69">INDEX(Salary,MATCH(C66&amp;D69,Range1&amp;Range2,0))</f>
        <v>9121</v>
      </c>
      <c r="G69" s="208">
        <f>Year1!G69</f>
        <v>0.5</v>
      </c>
      <c r="H69" s="11">
        <f>C65*E69*F69*G69</f>
        <v>0</v>
      </c>
    </row>
    <row r="70" spans="1:8" x14ac:dyDescent="0.2">
      <c r="A70" s="5"/>
      <c r="B70" s="85" t="str">
        <f>IF(OR(Year4!C70="August",Year4!C70="June",Year4!C70="July - August",Year4!C70="June - August",Year4!C70="June - July"),"Summer","Academic")</f>
        <v>Academic</v>
      </c>
      <c r="C70" s="229" t="str">
        <f>Year1!C70</f>
        <v>January - May</v>
      </c>
      <c r="D70" s="229" t="str">
        <f t="array" ref="D70">INDEX(Academic_Year,MATCH($B$8&amp;$C$38,DATE_COLUMN&amp;Calendar_Months,0))</f>
        <v>2029-2030</v>
      </c>
      <c r="E70" s="60">
        <f>INDEX(Number_Months,MATCH(C70,Time_Periods,0))</f>
        <v>5</v>
      </c>
      <c r="F70" s="424">
        <f t="array" ref="F70">INDEX(Salary,MATCH(C66&amp;D70,Range1&amp;Range2,0))</f>
        <v>9121</v>
      </c>
      <c r="G70" s="208">
        <f>Year1!G70</f>
        <v>0.5</v>
      </c>
      <c r="H70" s="11">
        <f>C65*E70*F70*G70</f>
        <v>0</v>
      </c>
    </row>
    <row r="71" spans="1:8" x14ac:dyDescent="0.2">
      <c r="A71" s="5"/>
      <c r="B71" s="85" t="str">
        <f>IF(OR(Year4!C71="August",Year4!C71="June",Year4!C71="July - August",Year4!C71="June - August",Year4!C71="June - July"),"Summer","Academic")</f>
        <v>Summer</v>
      </c>
      <c r="C71" s="229" t="str">
        <f>Year1!C71</f>
        <v>June</v>
      </c>
      <c r="D71" s="229" t="str">
        <f t="array" ref="D71">INDEX(Academic_Year,MATCH($B$8&amp;$C$39,DATE_COLUMN&amp;Calendar_Months,0))</f>
        <v>2029-2030</v>
      </c>
      <c r="E71" s="60">
        <f>INDEX(Number_Months,MATCH(C71,Time_Periods,0))</f>
        <v>1</v>
      </c>
      <c r="F71" s="424">
        <f t="array" ref="F71">INDEX(Salary,MATCH(C66&amp;D71,Range1&amp;Range2,0))</f>
        <v>9121</v>
      </c>
      <c r="G71" s="208">
        <f>Year1!G71</f>
        <v>0.5</v>
      </c>
      <c r="H71" s="11">
        <f>C65*E71*F71*G71</f>
        <v>0</v>
      </c>
    </row>
    <row r="72" spans="1:8" x14ac:dyDescent="0.2">
      <c r="A72" s="5"/>
      <c r="B72" s="6"/>
      <c r="C72" s="6"/>
      <c r="D72" s="6"/>
      <c r="E72" s="60">
        <f>SUM(E67:E71)</f>
        <v>12</v>
      </c>
      <c r="F72" s="22"/>
      <c r="G72" s="22" t="s">
        <v>112</v>
      </c>
      <c r="H72" s="58">
        <f>SUM(H67:H71)</f>
        <v>0</v>
      </c>
    </row>
    <row r="73" spans="1:8" x14ac:dyDescent="0.2">
      <c r="A73" s="5"/>
      <c r="B73" s="13" t="s">
        <v>11</v>
      </c>
      <c r="C73" s="216">
        <f>Year1!C73</f>
        <v>0</v>
      </c>
      <c r="D73" s="216"/>
      <c r="E73" s="6"/>
      <c r="F73" s="6"/>
      <c r="G73" s="6"/>
      <c r="H73" s="11"/>
    </row>
    <row r="74" spans="1:8" x14ac:dyDescent="0.2">
      <c r="A74" s="5"/>
      <c r="B74" s="6"/>
      <c r="C74" s="451" t="str">
        <f>IF(Year3!C74="GSR Step I","GSR Step II",IF(Year3!C74="GSR Step II","GSR Step III",IF(Year3!C74="GSR Step III","GSR Step III",IF(Year3!C74="GSR Step IV","GSR Step IV",IF(Year3!C74="GSR Step V","GSR Step V",IF(Year3!C74="GSR Step VI","GSR Step VI",0))))))</f>
        <v>GSR Step III</v>
      </c>
      <c r="D74" s="454"/>
      <c r="E74" s="6"/>
      <c r="F74" s="6"/>
      <c r="G74" s="6"/>
      <c r="H74" s="11"/>
    </row>
    <row r="75" spans="1:8" x14ac:dyDescent="0.2">
      <c r="A75" s="5"/>
      <c r="B75" s="85" t="str">
        <f>IF(OR(Year4!C75="August",Year4!C75="June",Year4!C75="July - August",Year4!C75="June - August",Year4!C75="June - July"),"Summer","Academic")</f>
        <v>Summer</v>
      </c>
      <c r="C75" s="229" t="str">
        <f>Year1!C75</f>
        <v>July - August</v>
      </c>
      <c r="D75" s="229" t="str">
        <f t="array" ref="D75">INDEX(Academic_Year,MATCH($B$8&amp;$C$35,DATE_COLUMN&amp;Calendar_Months,0))</f>
        <v>2028-2029</v>
      </c>
      <c r="E75" s="60">
        <f>INDEX(Number_Months,MATCH(C75,Time_Periods,0))</f>
        <v>2</v>
      </c>
      <c r="F75" s="424">
        <f t="array" ref="F75">INDEX(Salary,MATCH(C74&amp;D75,Range1&amp;Range2,0))</f>
        <v>8572</v>
      </c>
      <c r="G75" s="208">
        <f>Year1!G75</f>
        <v>0.5</v>
      </c>
      <c r="H75" s="11">
        <f>C73*E75*F75*G75</f>
        <v>0</v>
      </c>
    </row>
    <row r="76" spans="1:8" x14ac:dyDescent="0.2">
      <c r="A76" s="5"/>
      <c r="B76" s="85" t="str">
        <f>IF(OR(Year4!C76="August",Year4!C76="June",Year4!C76="July - August",Year4!C76="June - August",Year4!C76="June - July"),"Summer","Academic")</f>
        <v>Academic</v>
      </c>
      <c r="C76" s="229" t="str">
        <f>Year1!C76</f>
        <v>September</v>
      </c>
      <c r="D76" s="229" t="str">
        <f t="array" ref="D76">INDEX(Academic_Year,MATCH($B$8&amp;$C$36,DATE_COLUMN&amp;Calendar_Months,0))</f>
        <v>2028-2029</v>
      </c>
      <c r="E76" s="60">
        <f>INDEX(Number_Months,MATCH(C76,Time_Periods,0))</f>
        <v>1</v>
      </c>
      <c r="F76" s="424">
        <f t="array" ref="F76">INDEX(Salary,MATCH(C74&amp;D76,Range1&amp;Range2,0))</f>
        <v>8572</v>
      </c>
      <c r="G76" s="208">
        <f>Year1!G76</f>
        <v>0.5</v>
      </c>
      <c r="H76" s="11">
        <f>C73*E76*F76*G76</f>
        <v>0</v>
      </c>
    </row>
    <row r="77" spans="1:8" x14ac:dyDescent="0.2">
      <c r="A77" s="5"/>
      <c r="B77" s="85" t="str">
        <f>IF(OR(Year4!C77="August",Year4!C77="June",Year4!C77="July - August",Year4!C77="June - August",Year4!C77="June - July"),"Summer","Academic")</f>
        <v>Academic</v>
      </c>
      <c r="C77" s="229" t="str">
        <f>Year1!C77</f>
        <v>October - December</v>
      </c>
      <c r="D77" s="229" t="str">
        <f t="array" ref="D77">INDEX(Academic_Year,MATCH($B$8&amp;$C$37,DATE_COLUMN&amp;Calendar_Months,0))</f>
        <v>2029-2030</v>
      </c>
      <c r="E77" s="60">
        <f>INDEX(Number_Months,MATCH(C77,Time_Periods,0))</f>
        <v>3</v>
      </c>
      <c r="F77" s="424">
        <f t="array" ref="F77">INDEX(Salary,MATCH(C74&amp;D77,Range1&amp;Range2,0))</f>
        <v>9121</v>
      </c>
      <c r="G77" s="208">
        <f>Year1!G77</f>
        <v>0.5</v>
      </c>
      <c r="H77" s="11">
        <f>C73*E77*F77*G77</f>
        <v>0</v>
      </c>
    </row>
    <row r="78" spans="1:8" x14ac:dyDescent="0.2">
      <c r="A78" s="5"/>
      <c r="B78" s="85" t="str">
        <f>IF(OR(Year4!C78="August",Year4!C78="June",Year4!C78="July - August",Year4!C78="June - August",Year4!C78="June - July"),"Summer","Academic")</f>
        <v>Academic</v>
      </c>
      <c r="C78" s="229" t="str">
        <f>Year1!C78</f>
        <v>January - May</v>
      </c>
      <c r="D78" s="229" t="str">
        <f t="array" ref="D78">INDEX(Academic_Year,MATCH($B$8&amp;$C$38,DATE_COLUMN&amp;Calendar_Months,0))</f>
        <v>2029-2030</v>
      </c>
      <c r="E78" s="60">
        <f>INDEX(Number_Months,MATCH(C78,Time_Periods,0))</f>
        <v>5</v>
      </c>
      <c r="F78" s="424">
        <f t="array" ref="F78">INDEX(Salary,MATCH(C74&amp;D78,Range1&amp;Range2,0))</f>
        <v>9121</v>
      </c>
      <c r="G78" s="208">
        <f>Year1!G78</f>
        <v>0.5</v>
      </c>
      <c r="H78" s="11">
        <f>C73*E78*F78*G78</f>
        <v>0</v>
      </c>
    </row>
    <row r="79" spans="1:8" x14ac:dyDescent="0.2">
      <c r="A79" s="5"/>
      <c r="B79" s="85" t="str">
        <f>IF(OR(Year4!C79="August",Year4!C79="June",Year4!C79="July - August",Year4!C79="June - August",Year4!C79="June - July"),"Summer","Academic")</f>
        <v>Summer</v>
      </c>
      <c r="C79" s="229" t="str">
        <f>Year1!C79</f>
        <v>June</v>
      </c>
      <c r="D79" s="229" t="str">
        <f t="array" ref="D79">INDEX(Academic_Year,MATCH($B$8&amp;$C$39,DATE_COLUMN&amp;Calendar_Months,0))</f>
        <v>2029-2030</v>
      </c>
      <c r="E79" s="60">
        <f>INDEX(Number_Months,MATCH(C79,Time_Periods,0))</f>
        <v>1</v>
      </c>
      <c r="F79" s="424">
        <f t="array" ref="F79">INDEX(Salary,MATCH(C74&amp;D79,Range1&amp;Range2,0))</f>
        <v>9121</v>
      </c>
      <c r="G79" s="208">
        <f>Year1!G79</f>
        <v>0.5</v>
      </c>
      <c r="H79" s="11">
        <f>C73*E79*F79*G79</f>
        <v>0</v>
      </c>
    </row>
    <row r="80" spans="1:8" x14ac:dyDescent="0.2">
      <c r="A80" s="5"/>
      <c r="B80" s="6"/>
      <c r="C80" s="6"/>
      <c r="D80" s="6"/>
      <c r="E80" s="60">
        <f>SUM(E75:E79)</f>
        <v>12</v>
      </c>
      <c r="F80" s="22"/>
      <c r="G80" s="22" t="s">
        <v>112</v>
      </c>
      <c r="H80" s="58">
        <f>SUM(H75:H79)</f>
        <v>0</v>
      </c>
    </row>
    <row r="81" spans="1:14" x14ac:dyDescent="0.2">
      <c r="A81" s="4" t="s">
        <v>17</v>
      </c>
      <c r="E81" s="60"/>
      <c r="G81" s="19" t="s">
        <v>111</v>
      </c>
      <c r="H81" s="10">
        <f>IF(Year1!H8=1,0,IF(Year1!H8=2,0,IF(Year1!H8=3,0,H80+H72+H64+H56+H48+H40+H32)))</f>
        <v>0</v>
      </c>
    </row>
    <row r="82" spans="1:14" x14ac:dyDescent="0.2">
      <c r="A82" s="4"/>
      <c r="B82" s="13" t="s">
        <v>54</v>
      </c>
      <c r="C82" s="6" t="s">
        <v>197</v>
      </c>
      <c r="E82" s="60"/>
      <c r="F82" s="13"/>
      <c r="H82" s="10"/>
      <c r="N82" s="6"/>
    </row>
    <row r="83" spans="1:14" x14ac:dyDescent="0.2">
      <c r="A83" s="5"/>
      <c r="B83" s="421">
        <f>Year1!B83</f>
        <v>0</v>
      </c>
      <c r="C83" s="242" t="str">
        <f>Year1!C83</f>
        <v>Specialist, IX</v>
      </c>
      <c r="D83" s="224"/>
      <c r="E83" s="224" t="s">
        <v>8</v>
      </c>
      <c r="F83" s="297">
        <f>H84+H85</f>
        <v>0</v>
      </c>
      <c r="G83" s="208"/>
      <c r="H83" s="11"/>
    </row>
    <row r="84" spans="1:14" x14ac:dyDescent="0.2">
      <c r="A84" s="5"/>
      <c r="B84" s="426"/>
      <c r="C84" s="229" t="str">
        <f>INDEX(Period1_AR,MATCH(Grid!K1,Begin_Month2))</f>
        <v>July - June</v>
      </c>
      <c r="D84" s="229" t="str" cm="1">
        <f t="array" ref="D84">INDEX(Fiscal_Year_,MATCH($B$8&amp;C84,DATE_COLUMN_AR&amp;CALENDAR_MONTHS_AR,0))</f>
        <v>FY30</v>
      </c>
      <c r="E84" s="262">
        <f>VLOOKUP(C84,Grid2!$I$27:$J$38,2,FALSE)</f>
        <v>12</v>
      </c>
      <c r="F84" s="424" cm="1">
        <f t="array" ref="F84">INDEX(AR_SALARY,MATCH(C83&amp;D84,AR_Title&amp;AR_FY,0))</f>
        <v>18898.137225631872</v>
      </c>
      <c r="G84" s="215">
        <f>Year1!G84</f>
        <v>1</v>
      </c>
      <c r="H84" s="11">
        <f>ROUND(B83*E84*F84*G84,0)</f>
        <v>0</v>
      </c>
    </row>
    <row r="85" spans="1:14" x14ac:dyDescent="0.2">
      <c r="A85" s="5"/>
      <c r="B85" s="426"/>
      <c r="C85" s="229" t="str">
        <f>INDEX(Period2_AR,MATCH(Grid!K1,Begin_Month2))</f>
        <v>none</v>
      </c>
      <c r="D85" s="229" t="str" cm="1">
        <f t="array" ref="D85">INDEX(Fiscal_Year_,MATCH($B$8&amp;C85,DATE_COLUMN_AR&amp;CALENDAR_MONTHS_AR,0))</f>
        <v>FY30</v>
      </c>
      <c r="E85" s="262">
        <f>VLOOKUP(C85,Grid2!$K$27:$L$38,2,FALSE)</f>
        <v>0</v>
      </c>
      <c r="F85" s="424" cm="1">
        <f t="array" ref="F85">INDEX(AR_SALARY,MATCH(C83&amp;D85,AR_Title&amp;AR_FY,0))</f>
        <v>18898.137225631872</v>
      </c>
      <c r="G85" s="215">
        <f>Year1!G85</f>
        <v>1</v>
      </c>
      <c r="H85" s="11">
        <f>ROUND(B83*E85*F85*G85,0)</f>
        <v>0</v>
      </c>
    </row>
    <row r="86" spans="1:14" x14ac:dyDescent="0.2">
      <c r="A86" s="5"/>
      <c r="B86" s="421">
        <f>Year1!B86</f>
        <v>0</v>
      </c>
      <c r="C86" s="330" t="str">
        <f>Year1!C86</f>
        <v>Research Engineer, I</v>
      </c>
      <c r="D86" s="225"/>
      <c r="E86" s="224" t="s">
        <v>8</v>
      </c>
      <c r="F86" s="297">
        <f>H87+H88</f>
        <v>0</v>
      </c>
      <c r="G86" s="208"/>
      <c r="H86" s="11"/>
    </row>
    <row r="87" spans="1:14" x14ac:dyDescent="0.2">
      <c r="A87" s="5"/>
      <c r="B87" s="426"/>
      <c r="C87" s="229" t="str">
        <f>INDEX(Period1_AR,MATCH(Grid!K1,Begin_Month2))</f>
        <v>July - June</v>
      </c>
      <c r="D87" s="229" t="str" cm="1">
        <f t="array" ref="D87">INDEX(Fiscal_Year_,MATCH($B$8&amp;C87,DATE_COLUMN_AR&amp;CALENDAR_MONTHS_AR,0))</f>
        <v>FY30</v>
      </c>
      <c r="E87" s="262">
        <f>VLOOKUP(C87,Grid2!$I$27:$J$38,2,FALSE)</f>
        <v>12</v>
      </c>
      <c r="F87" s="424" cm="1">
        <f t="array" ref="F87">INDEX(AR_SALARY,MATCH(C86&amp;D87,AR_Title&amp;AR_FY,0))</f>
        <v>16317.474536608126</v>
      </c>
      <c r="G87" s="215">
        <f>Year1!G87</f>
        <v>1</v>
      </c>
      <c r="H87" s="11">
        <f>ROUND(B86*E87*F87*G87,0)</f>
        <v>0</v>
      </c>
    </row>
    <row r="88" spans="1:14" x14ac:dyDescent="0.2">
      <c r="A88" s="5"/>
      <c r="B88" s="426"/>
      <c r="C88" s="229" t="str">
        <f>INDEX(Period2_AR,MATCH(Grid!K1,Begin_Month2))</f>
        <v>none</v>
      </c>
      <c r="D88" s="229" t="str" cm="1">
        <f t="array" ref="D88">INDEX(Fiscal_Year_,MATCH($B$8&amp;C88,DATE_COLUMN_AR&amp;CALENDAR_MONTHS_AR,0))</f>
        <v>FY30</v>
      </c>
      <c r="E88" s="262">
        <f>VLOOKUP(C88,Grid2!$K$27:$L$38,2,FALSE)</f>
        <v>0</v>
      </c>
      <c r="F88" s="424" cm="1">
        <f t="array" ref="F88">INDEX(AR_SALARY,MATCH(C86&amp;D88,AR_Title&amp;AR_FY,0))</f>
        <v>16317.474536608126</v>
      </c>
      <c r="G88" s="215">
        <f>Year1!G88</f>
        <v>1</v>
      </c>
      <c r="H88" s="11">
        <f t="shared" ref="H88" si="0">ROUND(B86*E88*F88*G88,0)</f>
        <v>0</v>
      </c>
    </row>
    <row r="89" spans="1:14" x14ac:dyDescent="0.2">
      <c r="A89" s="5"/>
      <c r="B89" s="421">
        <f>Year1!B89</f>
        <v>0</v>
      </c>
      <c r="C89" s="6" t="s">
        <v>18</v>
      </c>
      <c r="D89" s="120" t="s">
        <v>567</v>
      </c>
      <c r="E89" s="213">
        <f>Year1!E89</f>
        <v>0</v>
      </c>
      <c r="F89" s="419">
        <f>Year1!F89</f>
        <v>18.670000000000002</v>
      </c>
      <c r="G89" s="215">
        <f>Year1!G89</f>
        <v>1</v>
      </c>
      <c r="H89" s="11">
        <f t="shared" ref="H89:H94" si="1">ROUND(B89*E89*F89*G89,0)</f>
        <v>0</v>
      </c>
    </row>
    <row r="90" spans="1:14" x14ac:dyDescent="0.2">
      <c r="A90" s="5"/>
      <c r="B90" s="421">
        <f>Year1!B90</f>
        <v>0</v>
      </c>
      <c r="C90" s="6" t="s">
        <v>18</v>
      </c>
      <c r="D90" s="120" t="s">
        <v>567</v>
      </c>
      <c r="E90" s="213">
        <f>Year1!E90</f>
        <v>0</v>
      </c>
      <c r="F90" s="419">
        <f>Year1!F90</f>
        <v>18.670000000000002</v>
      </c>
      <c r="G90" s="215">
        <f>Year1!G90</f>
        <v>1</v>
      </c>
      <c r="H90" s="11">
        <f t="shared" si="1"/>
        <v>0</v>
      </c>
    </row>
    <row r="91" spans="1:14" x14ac:dyDescent="0.2">
      <c r="A91" s="5"/>
      <c r="B91" s="421">
        <f>Year1!B91</f>
        <v>0</v>
      </c>
      <c r="C91" s="6" t="s">
        <v>18</v>
      </c>
      <c r="D91" s="120" t="s">
        <v>567</v>
      </c>
      <c r="E91" s="213">
        <f>Year1!E91</f>
        <v>0</v>
      </c>
      <c r="F91" s="419">
        <f>Year1!F91</f>
        <v>18.670000000000002</v>
      </c>
      <c r="G91" s="215">
        <f>Year1!G91</f>
        <v>1</v>
      </c>
      <c r="H91" s="11">
        <f t="shared" si="1"/>
        <v>0</v>
      </c>
    </row>
    <row r="92" spans="1:14" x14ac:dyDescent="0.2">
      <c r="A92" s="5"/>
      <c r="B92" s="421">
        <f>Year1!B92</f>
        <v>0</v>
      </c>
      <c r="C92" s="6" t="s">
        <v>107</v>
      </c>
      <c r="D92" s="6"/>
      <c r="E92" s="213">
        <f>Year1!E92</f>
        <v>12</v>
      </c>
      <c r="F92" s="214">
        <f>Year3!F92*1.04</f>
        <v>11.248640000000002</v>
      </c>
      <c r="G92" s="215">
        <f>Year1!G92</f>
        <v>1</v>
      </c>
      <c r="H92" s="11">
        <f t="shared" si="1"/>
        <v>0</v>
      </c>
    </row>
    <row r="93" spans="1:14" x14ac:dyDescent="0.2">
      <c r="A93" s="5"/>
      <c r="B93" s="421">
        <f>Year1!B93</f>
        <v>0</v>
      </c>
      <c r="C93" s="6" t="s">
        <v>107</v>
      </c>
      <c r="D93" s="6"/>
      <c r="E93" s="213">
        <f>Year1!E93</f>
        <v>12</v>
      </c>
      <c r="F93" s="214">
        <f>Year3!F93*1.04</f>
        <v>11.248640000000002</v>
      </c>
      <c r="G93" s="215">
        <f>Year1!G93</f>
        <v>1</v>
      </c>
      <c r="H93" s="11">
        <f t="shared" si="1"/>
        <v>0</v>
      </c>
      <c r="J93" s="12"/>
    </row>
    <row r="94" spans="1:14" x14ac:dyDescent="0.2">
      <c r="A94" s="5"/>
      <c r="B94" s="421">
        <f>Year1!B94</f>
        <v>0</v>
      </c>
      <c r="C94" s="6" t="s">
        <v>107</v>
      </c>
      <c r="D94" s="6"/>
      <c r="E94" s="213">
        <f>Year1!E94</f>
        <v>12</v>
      </c>
      <c r="F94" s="214">
        <f>Year3!F94*1.04</f>
        <v>11.248640000000002</v>
      </c>
      <c r="G94" s="215">
        <f>Year1!G94</f>
        <v>1</v>
      </c>
      <c r="H94" s="11">
        <f t="shared" si="1"/>
        <v>0</v>
      </c>
    </row>
    <row r="95" spans="1:14" x14ac:dyDescent="0.2">
      <c r="A95" s="5"/>
      <c r="B95" s="421">
        <f>Year1!B95</f>
        <v>0</v>
      </c>
      <c r="C95" s="6" t="s">
        <v>153</v>
      </c>
      <c r="D95" s="6"/>
      <c r="E95" s="213">
        <f>Year1!E95</f>
        <v>12</v>
      </c>
      <c r="F95" s="214">
        <f>Year3!F95*1.04</f>
        <v>11.248640000000002</v>
      </c>
      <c r="G95" s="215">
        <f>Year1!G95</f>
        <v>1</v>
      </c>
      <c r="H95" s="11">
        <f>ROUND(B95*E95*F95*G95,0)</f>
        <v>0</v>
      </c>
    </row>
    <row r="96" spans="1:14" x14ac:dyDescent="0.2">
      <c r="A96" s="5"/>
      <c r="B96" s="421">
        <f>Year1!B96</f>
        <v>0</v>
      </c>
      <c r="C96" s="6" t="s">
        <v>153</v>
      </c>
      <c r="D96" s="6"/>
      <c r="E96" s="213">
        <f>Year1!E96</f>
        <v>12</v>
      </c>
      <c r="F96" s="214">
        <f>Year3!F96*1.04</f>
        <v>11.248640000000002</v>
      </c>
      <c r="G96" s="215">
        <f>Year1!G96</f>
        <v>1</v>
      </c>
      <c r="H96" s="11">
        <f t="shared" ref="H96:H98" si="2">ROUND(B96*E96*F96*G96,0)</f>
        <v>0</v>
      </c>
    </row>
    <row r="97" spans="1:8" x14ac:dyDescent="0.2">
      <c r="A97" s="5"/>
      <c r="B97" s="421">
        <f>Year1!B97</f>
        <v>0</v>
      </c>
      <c r="C97" s="6" t="s">
        <v>1302</v>
      </c>
      <c r="D97" s="6"/>
      <c r="E97" s="213">
        <f>Year1!E97</f>
        <v>12</v>
      </c>
      <c r="F97" s="214">
        <f>Year3!F97*1.04</f>
        <v>11.248640000000002</v>
      </c>
      <c r="G97" s="215">
        <f>Year1!G97</f>
        <v>1</v>
      </c>
      <c r="H97" s="11">
        <f t="shared" si="2"/>
        <v>0</v>
      </c>
    </row>
    <row r="98" spans="1:8" x14ac:dyDescent="0.2">
      <c r="A98" s="5"/>
      <c r="B98" s="421">
        <f>Year1!B98</f>
        <v>0</v>
      </c>
      <c r="C98" s="6" t="s">
        <v>1302</v>
      </c>
      <c r="D98" s="6"/>
      <c r="E98" s="213">
        <f>Year1!E98</f>
        <v>12</v>
      </c>
      <c r="F98" s="214">
        <f>Year3!F98*1.04</f>
        <v>11.248640000000002</v>
      </c>
      <c r="G98" s="215">
        <f>Year1!G98</f>
        <v>1</v>
      </c>
      <c r="H98" s="11">
        <f t="shared" si="2"/>
        <v>0</v>
      </c>
    </row>
    <row r="99" spans="1:8" x14ac:dyDescent="0.2">
      <c r="A99" s="5"/>
      <c r="D99" s="436" t="s">
        <v>1157</v>
      </c>
      <c r="H99" s="17"/>
    </row>
    <row r="100" spans="1:8" x14ac:dyDescent="0.2">
      <c r="A100" s="5"/>
      <c r="B100" s="443"/>
      <c r="C100" s="441" t="s">
        <v>1183</v>
      </c>
      <c r="D100" s="436"/>
      <c r="E100" s="213"/>
      <c r="F100" s="214"/>
      <c r="G100" s="215"/>
      <c r="H100" s="11"/>
    </row>
    <row r="101" spans="1:8" x14ac:dyDescent="0.2">
      <c r="A101" s="5"/>
      <c r="B101" s="443">
        <f>Year1!B101</f>
        <v>0</v>
      </c>
      <c r="C101" s="6" t="s">
        <v>22</v>
      </c>
      <c r="D101" s="242">
        <f>IF(Year2!D101=Blank,"Blank",Year3!D101+1)</f>
        <v>7</v>
      </c>
      <c r="E101" s="440">
        <f>IF(D101=Blank,"Blank",D101+1)</f>
        <v>8</v>
      </c>
      <c r="F101" s="446"/>
      <c r="G101" s="41"/>
      <c r="H101" s="11"/>
    </row>
    <row r="102" spans="1:8" x14ac:dyDescent="0.2">
      <c r="B102" s="443"/>
      <c r="C102" s="229" t="str">
        <f>INDEX(hiredate2_period1,MATCH(Grid!$K$1,Grid2!$D$2:$D$13))</f>
        <v>July - September</v>
      </c>
      <c r="D102" s="229" t="str" cm="1">
        <f t="array" ref="D102">INDEX(Grid2!$W$27:$W$350,MATCH($B$8&amp;$C$102,Grid2!$U$27:$U$350&amp;Grid2!$V$27:$V$350,0))</f>
        <v>FY29E</v>
      </c>
      <c r="E102" s="229">
        <f>VLOOKUP(C102,Grid2!$I$2:$J$13,2,FALSE)</f>
        <v>3</v>
      </c>
      <c r="F102" s="246" cm="1">
        <f t="array" ref="F102">INDEX(hiredate2_salary,MATCH($D$101&amp;D102,exp_level_hire_date_2&amp;hiredate2_FY,0))</f>
        <v>7579.51</v>
      </c>
      <c r="G102" s="215">
        <f>Year1!G102</f>
        <v>1</v>
      </c>
      <c r="H102" s="11">
        <f>ROUND(B101*E102*F102*G102,0)</f>
        <v>0</v>
      </c>
    </row>
    <row r="103" spans="1:8" x14ac:dyDescent="0.2">
      <c r="B103" s="443"/>
      <c r="C103" s="229" t="str">
        <f>INDEX(Hiredate2_period2,MATCH(Grid!$K$1,Grid2!$D$2:$D$13))</f>
        <v>October - March</v>
      </c>
      <c r="D103" s="229" t="str" cm="1">
        <f t="array" ref="D103">INDEX(Grid2!$W$27:$W$350,MATCH($B$8&amp;$C$103,Grid2!$U$27:$U$350&amp;Grid2!$V$27:$V$350,0))</f>
        <v>FY30R</v>
      </c>
      <c r="E103" s="229">
        <f>VLOOKUP(C103,Grid2!$K$2:$L$13,2,FALSE)</f>
        <v>6</v>
      </c>
      <c r="F103" s="246" cm="1">
        <f t="array" ref="F103">INDEX(hiredate2_salary,MATCH($D$101&amp;D103,exp_level_hire_date_2&amp;hiredate2_FY,0))</f>
        <v>7806.9</v>
      </c>
      <c r="G103" s="215">
        <f>Year1!G103</f>
        <v>1</v>
      </c>
      <c r="H103" s="11">
        <f>ROUND(B101*E103*F103*G103,0)</f>
        <v>0</v>
      </c>
    </row>
    <row r="104" spans="1:8" x14ac:dyDescent="0.2">
      <c r="B104" s="443"/>
      <c r="C104" s="229" t="str">
        <f>INDEX(hiredate2_period3,MATCH(Grid!$K$1,Grid2!$D$2:$D$13))</f>
        <v>April - June</v>
      </c>
      <c r="D104" s="229" t="str" cm="1">
        <f t="array" ref="D104">INDEX(Grid2!$W$27:$W$350,MATCH($B$8&amp;$C$104,Grid2!$U$27:$U$350&amp;Grid2!$V$27:$V$350,0))</f>
        <v>FY30E</v>
      </c>
      <c r="E104" s="229">
        <f>VLOOKUP(C104,Grid2!$M$2:$N$13,2,FALSE)</f>
        <v>3</v>
      </c>
      <c r="F104" s="246" cm="1">
        <f t="array" ref="F104">INDEX(hiredate2_salary,MATCH(($D$101+1)&amp;D104,exp_level_hire_date_2&amp;hiredate2_FY,0))</f>
        <v>7806.9</v>
      </c>
      <c r="G104" s="215">
        <f>Year1!G104</f>
        <v>1</v>
      </c>
      <c r="H104" s="11">
        <f>ROUND(B101*E104*F104*G104,0)</f>
        <v>0</v>
      </c>
    </row>
    <row r="105" spans="1:8" x14ac:dyDescent="0.2">
      <c r="B105" s="443">
        <f>Year1!B105</f>
        <v>0</v>
      </c>
      <c r="C105" s="6" t="s">
        <v>22</v>
      </c>
      <c r="D105" s="242">
        <f>IF(Year2!D105=Blank,"Blank",Year3!D105+1)</f>
        <v>7</v>
      </c>
      <c r="E105" s="458">
        <f>IF(D105=Blank,"Blank",D105+1)</f>
        <v>8</v>
      </c>
      <c r="F105" s="460"/>
      <c r="G105" s="41"/>
      <c r="H105" s="11"/>
    </row>
    <row r="106" spans="1:8" x14ac:dyDescent="0.2">
      <c r="B106" s="443"/>
      <c r="C106" s="229" t="str">
        <f>INDEX(hiredate2_period1,MATCH(Grid!$K$1,Grid2!$D$2:$D$13))</f>
        <v>July - September</v>
      </c>
      <c r="D106" s="229" t="str" cm="1">
        <f t="array" ref="D106">INDEX(Grid2!$W$27:$W$350,MATCH($B$8&amp;$C$102,Grid2!$U$27:$U$350&amp;Grid2!$V$27:$V$350,0))</f>
        <v>FY29E</v>
      </c>
      <c r="E106" s="229">
        <f>VLOOKUP(C106,Grid2!$I$2:$J$13,2,FALSE)</f>
        <v>3</v>
      </c>
      <c r="F106" s="246" cm="1">
        <f t="array" ref="F106">INDEX(hiredate2_salary,MATCH($D$105&amp;D106,exp_level_hire_date_2&amp;hiredate2_FY,0))</f>
        <v>7579.51</v>
      </c>
      <c r="G106" s="215">
        <f>Year1!G106</f>
        <v>1</v>
      </c>
      <c r="H106" s="11">
        <f>ROUND(B105*E106*F106*G106,0)</f>
        <v>0</v>
      </c>
    </row>
    <row r="107" spans="1:8" x14ac:dyDescent="0.2">
      <c r="B107" s="443"/>
      <c r="C107" s="229" t="str">
        <f>INDEX(Hiredate2_period2,MATCH(Grid!$K$1,Grid2!$D$2:$D$13))</f>
        <v>October - March</v>
      </c>
      <c r="D107" s="229" t="str" cm="1">
        <f t="array" ref="D107">INDEX(Grid2!$W$27:$W$350,MATCH($B$8&amp;$C$103,Grid2!$U$27:$U$350&amp;Grid2!$V$27:$V$350,0))</f>
        <v>FY30R</v>
      </c>
      <c r="E107" s="229">
        <f>VLOOKUP(C107,Grid2!$K$2:$L$13,2,FALSE)</f>
        <v>6</v>
      </c>
      <c r="F107" s="246" cm="1">
        <f t="array" ref="F107">INDEX(hiredate2_salary,MATCH($D$105&amp;D107,exp_level_hire_date_2&amp;hiredate2_FY,0))</f>
        <v>7806.9</v>
      </c>
      <c r="G107" s="215">
        <f>Year1!G107</f>
        <v>1</v>
      </c>
      <c r="H107" s="11">
        <f>ROUND(B105*E107*F107*G107,0)</f>
        <v>0</v>
      </c>
    </row>
    <row r="108" spans="1:8" x14ac:dyDescent="0.2">
      <c r="B108" s="443"/>
      <c r="C108" s="229" t="str">
        <f>INDEX(hiredate2_period3,MATCH(Grid!$K$1,Grid2!$D$2:$D$13))</f>
        <v>April - June</v>
      </c>
      <c r="D108" s="229" t="str" cm="1">
        <f t="array" ref="D108">INDEX(Grid2!$W$27:$W$350,MATCH($B$8&amp;$C$104,Grid2!$U$27:$U$350&amp;Grid2!$V$27:$V$350,0))</f>
        <v>FY30E</v>
      </c>
      <c r="E108" s="229">
        <f>VLOOKUP(C108,Grid2!$M$2:$N$13,2,FALSE)</f>
        <v>3</v>
      </c>
      <c r="F108" s="246" cm="1">
        <f t="array" ref="F108">INDEX(hiredate2_salary,MATCH(($D$105+1)&amp;D108,exp_level_hire_date_2&amp;hiredate2_FY,0))</f>
        <v>7806.9</v>
      </c>
      <c r="G108" s="215">
        <f>Year1!G108</f>
        <v>1</v>
      </c>
      <c r="H108" s="11">
        <f>ROUND(B105*E108*F108*G108,0)</f>
        <v>0</v>
      </c>
    </row>
    <row r="109" spans="1:8" x14ac:dyDescent="0.2">
      <c r="B109" s="443">
        <f>Year1!B109</f>
        <v>0</v>
      </c>
      <c r="C109" s="6" t="s">
        <v>22</v>
      </c>
      <c r="D109" s="242">
        <f>IF(Year2!D109=Blank,"Blank",Year3!D109+1)</f>
        <v>7</v>
      </c>
      <c r="E109" s="458">
        <f>IF(D109=Blank,"Blank",D109+1)</f>
        <v>8</v>
      </c>
      <c r="F109" s="460"/>
      <c r="G109" s="41"/>
      <c r="H109" s="11"/>
    </row>
    <row r="110" spans="1:8" x14ac:dyDescent="0.2">
      <c r="B110" s="443"/>
      <c r="C110" s="229" t="str">
        <f>INDEX(hiredate2_period1,MATCH(Grid!$K$1,Grid2!$D$2:$D$13))</f>
        <v>July - September</v>
      </c>
      <c r="D110" s="229" t="str" cm="1">
        <f t="array" ref="D110">INDEX(Grid2!$W$27:$W$350,MATCH($B$8&amp;$C$102,Grid2!$U$27:$U$350&amp;Grid2!$V$27:$V$350,0))</f>
        <v>FY29E</v>
      </c>
      <c r="E110" s="229">
        <f>VLOOKUP(C110,Grid2!$I$2:$J$13,2,FALSE)</f>
        <v>3</v>
      </c>
      <c r="F110" s="246" cm="1">
        <f t="array" ref="F110">INDEX(hiredate2_salary,MATCH($D$109&amp;D110,exp_level_hire_date_2&amp;hiredate2_FY,0))</f>
        <v>7579.51</v>
      </c>
      <c r="G110" s="215">
        <f>Year1!G110</f>
        <v>1</v>
      </c>
      <c r="H110" s="11">
        <f>ROUND(B109*E110*F110*G110,0)</f>
        <v>0</v>
      </c>
    </row>
    <row r="111" spans="1:8" x14ac:dyDescent="0.2">
      <c r="B111" s="443"/>
      <c r="C111" s="229" t="str">
        <f>INDEX(Hiredate2_period2,MATCH(Grid!$K$1,Grid2!$D$2:$D$13))</f>
        <v>October - March</v>
      </c>
      <c r="D111" s="229" t="str" cm="1">
        <f t="array" ref="D111">INDEX(Grid2!$W$27:$W$350,MATCH($B$8&amp;$C$103,Grid2!$U$27:$U$350&amp;Grid2!$V$27:$V$350,0))</f>
        <v>FY30R</v>
      </c>
      <c r="E111" s="229">
        <f>VLOOKUP(C111,Grid2!$K$2:$L$13,2,FALSE)</f>
        <v>6</v>
      </c>
      <c r="F111" s="246" cm="1">
        <f t="array" ref="F111">INDEX(hiredate2_salary,MATCH($D$109&amp;D111,exp_level_hire_date_2&amp;hiredate2_FY,0))</f>
        <v>7806.9</v>
      </c>
      <c r="G111" s="215">
        <f>Year1!G111</f>
        <v>1</v>
      </c>
      <c r="H111" s="11">
        <f>ROUND(B109*E111*F111*G111,0)</f>
        <v>0</v>
      </c>
    </row>
    <row r="112" spans="1:8" x14ac:dyDescent="0.2">
      <c r="B112" s="443"/>
      <c r="C112" s="229" t="str">
        <f>INDEX(hiredate2_period3,MATCH(Grid!$K$1,Grid2!$D$2:$D$13))</f>
        <v>April - June</v>
      </c>
      <c r="D112" s="229" t="str" cm="1">
        <f t="array" ref="D112">INDEX(Grid2!$W$27:$W$350,MATCH($B$8&amp;$C$104,Grid2!$U$27:$U$350&amp;Grid2!$V$27:$V$350,0))</f>
        <v>FY30E</v>
      </c>
      <c r="E112" s="229">
        <f>VLOOKUP(C112,Grid2!$M$2:$N$13,2,FALSE)</f>
        <v>3</v>
      </c>
      <c r="F112" s="246" cm="1">
        <f t="array" ref="F112">INDEX(hiredate2_salary,MATCH(($D$109+1)&amp;D112,exp_level_hire_date_2&amp;hiredate2_FY,0))</f>
        <v>7806.9</v>
      </c>
      <c r="G112" s="215">
        <f>Year1!G112</f>
        <v>1</v>
      </c>
      <c r="H112" s="11">
        <f>ROUND(B109*E112*F112*G112,0)</f>
        <v>0</v>
      </c>
    </row>
    <row r="113" spans="2:8" x14ac:dyDescent="0.2">
      <c r="B113" s="443">
        <f>Year1!B113</f>
        <v>0</v>
      </c>
      <c r="C113" s="6" t="s">
        <v>22</v>
      </c>
      <c r="D113" s="242">
        <f>IF(Year2!D113=Blank,"Blank",Year3!D113+1)</f>
        <v>7</v>
      </c>
      <c r="E113" s="458">
        <f>IF(D113=Blank,"Blank",D113+1)</f>
        <v>8</v>
      </c>
      <c r="F113" s="460"/>
      <c r="G113" s="41"/>
      <c r="H113" s="11"/>
    </row>
    <row r="114" spans="2:8" x14ac:dyDescent="0.2">
      <c r="B114" s="443"/>
      <c r="C114" s="229" t="str">
        <f>INDEX(hiredate2_period1,MATCH(Grid!$K$1,Grid2!$D$2:$D$13))</f>
        <v>July - September</v>
      </c>
      <c r="D114" s="229" t="str" cm="1">
        <f t="array" ref="D114">INDEX(Grid2!$W$27:$W$350,MATCH($B$8&amp;$C$102,Grid2!$U$27:$U$350&amp;Grid2!$V$27:$V$350,0))</f>
        <v>FY29E</v>
      </c>
      <c r="E114" s="229">
        <f>VLOOKUP(C114,Grid2!$I$2:$J$13,2,FALSE)</f>
        <v>3</v>
      </c>
      <c r="F114" s="246" cm="1">
        <f t="array" ref="F114">INDEX(hiredate2_salary,MATCH($D$113&amp;D114,exp_level_hire_date_2&amp;hiredate2_FY,0))</f>
        <v>7579.51</v>
      </c>
      <c r="G114" s="215">
        <f>Year1!G114</f>
        <v>1</v>
      </c>
      <c r="H114" s="11">
        <f>ROUND(B113*E114*F114*G114,0)</f>
        <v>0</v>
      </c>
    </row>
    <row r="115" spans="2:8" x14ac:dyDescent="0.2">
      <c r="B115" s="443"/>
      <c r="C115" s="229" t="str">
        <f>INDEX(Hiredate2_period2,MATCH(Grid!$K$1,Grid2!$D$2:$D$13))</f>
        <v>October - March</v>
      </c>
      <c r="D115" s="229" t="str" cm="1">
        <f t="array" ref="D115">INDEX(Grid2!$W$27:$W$350,MATCH($B$8&amp;$C$103,Grid2!$U$27:$U$350&amp;Grid2!$V$27:$V$350,0))</f>
        <v>FY30R</v>
      </c>
      <c r="E115" s="229">
        <f>VLOOKUP(C115,Grid2!$K$2:$L$13,2,FALSE)</f>
        <v>6</v>
      </c>
      <c r="F115" s="246" cm="1">
        <f t="array" ref="F115">INDEX(hiredate2_salary,MATCH($D$113&amp;D115,exp_level_hire_date_2&amp;hiredate2_FY,0))</f>
        <v>7806.9</v>
      </c>
      <c r="G115" s="215">
        <f>Year1!G115</f>
        <v>1</v>
      </c>
      <c r="H115" s="11">
        <f>ROUND(B113*E115*F115*G115,0)</f>
        <v>0</v>
      </c>
    </row>
    <row r="116" spans="2:8" x14ac:dyDescent="0.2">
      <c r="B116" s="443"/>
      <c r="C116" s="229" t="str">
        <f>INDEX(hiredate2_period3,MATCH(Grid!$K$1,Grid2!$D$2:$D$13))</f>
        <v>April - June</v>
      </c>
      <c r="D116" s="229" t="str" cm="1">
        <f t="array" ref="D116">INDEX(Grid2!$W$27:$W$350,MATCH($B$8&amp;$C$104,Grid2!$U$27:$U$350&amp;Grid2!$V$27:$V$350,0))</f>
        <v>FY30E</v>
      </c>
      <c r="E116" s="229">
        <f>VLOOKUP(C116,Grid2!$M$2:$N$13,2,FALSE)</f>
        <v>3</v>
      </c>
      <c r="F116" s="246" cm="1">
        <f t="array" ref="F116">INDEX(hiredate2_salary,MATCH(($D$113+1)&amp;D116,exp_level_hire_date_2&amp;hiredate2_FY,0))</f>
        <v>7806.9</v>
      </c>
      <c r="G116" s="215">
        <f>Year1!G116</f>
        <v>1</v>
      </c>
      <c r="H116" s="11">
        <f>ROUND(B113*E116*F116*G116,0)</f>
        <v>0</v>
      </c>
    </row>
    <row r="117" spans="2:8" x14ac:dyDescent="0.2">
      <c r="B117" s="442"/>
      <c r="C117" s="444" t="s">
        <v>1182</v>
      </c>
      <c r="D117" s="445"/>
      <c r="E117" s="225"/>
      <c r="F117" s="246"/>
      <c r="G117" s="215"/>
      <c r="H117" s="11"/>
    </row>
    <row r="118" spans="2:8" x14ac:dyDescent="0.2">
      <c r="B118" s="442">
        <f>Year1!B118</f>
        <v>0</v>
      </c>
      <c r="C118" s="455" t="s">
        <v>22</v>
      </c>
      <c r="D118" s="456" t="str">
        <f>Year1!D118</f>
        <v>Blank</v>
      </c>
      <c r="E118" s="458" t="str">
        <f>IF(AND(Year1!G118&gt;5996,Year1!G118&lt;6350),5,"Blank")</f>
        <v>Blank</v>
      </c>
      <c r="F118" s="459"/>
      <c r="G118" s="41"/>
      <c r="H118" s="11"/>
    </row>
    <row r="119" spans="2:8" x14ac:dyDescent="0.2">
      <c r="B119" s="442"/>
      <c r="C119" s="229" t="str">
        <f>INDEX(per_1_postdoc,MATCH(Grid!$K$1,Beg_mos_postdoc))</f>
        <v>July - September</v>
      </c>
      <c r="D119" s="229" t="str" cm="1">
        <f t="array" ref="D119">INDEX(FY_postdoc,MATCH($B$8&amp;$C$119,date_postdoc&amp;cal_mos_postdoc,0))</f>
        <v>FY29</v>
      </c>
      <c r="E119" s="229">
        <f>VLOOKUP(C119,Grid2!$I$44:$J$55,2,FALSE)</f>
        <v>3</v>
      </c>
      <c r="F119" s="246" cm="1">
        <f t="array" ref="F119">INDEX(MonthlySalaryPX,MATCH(E118&amp;D119,PXlevel&amp;FYPX,0))</f>
        <v>7761.3399274385001</v>
      </c>
      <c r="G119" s="215">
        <f>Year1!G119</f>
        <v>1</v>
      </c>
      <c r="H119" s="11">
        <f>ROUND(B118*E119*F119*G119,0)</f>
        <v>0</v>
      </c>
    </row>
    <row r="120" spans="2:8" x14ac:dyDescent="0.2">
      <c r="B120" s="442"/>
      <c r="C120" s="229" t="str">
        <f>INDEX(Per_2_postdoc,MATCH(Grid!$K$1,Beg_mos_postdoc))</f>
        <v>October - June</v>
      </c>
      <c r="D120" s="229" t="str" cm="1">
        <f t="array" ref="D120">INDEX(FY_postdoc,MATCH($B$8&amp;$C$120,date_postdoc&amp;cal_mos_postdoc,0))</f>
        <v>FY30</v>
      </c>
      <c r="E120" s="229">
        <f>VLOOKUP(C120,Grid2!$K$44:$L$55,2,FALSE)</f>
        <v>9</v>
      </c>
      <c r="F120" s="246" cm="1">
        <f t="array" ref="F120">INDEX(MonthlySalaryPX,MATCH(E118&amp;D120,PXlevel&amp;FYPX,0))</f>
        <v>7994.1801252616551</v>
      </c>
      <c r="G120" s="215">
        <f>Year1!G120</f>
        <v>1</v>
      </c>
      <c r="H120" s="11">
        <f>ROUND(B118*E120*F120*G120,0)</f>
        <v>0</v>
      </c>
    </row>
    <row r="121" spans="2:8" x14ac:dyDescent="0.2">
      <c r="B121" s="442">
        <f>Year1!B121</f>
        <v>0</v>
      </c>
      <c r="C121" s="455" t="s">
        <v>22</v>
      </c>
      <c r="D121" s="456" t="str">
        <f>Year1!D121</f>
        <v>Blank</v>
      </c>
      <c r="E121" s="458" t="str">
        <f>IF(AND(Year1!G121&gt;5996,Year1!G121&lt;6350),5,"Blank")</f>
        <v>Blank</v>
      </c>
      <c r="F121" s="459"/>
      <c r="G121" s="41"/>
      <c r="H121" s="11"/>
    </row>
    <row r="122" spans="2:8" x14ac:dyDescent="0.2">
      <c r="B122" s="442"/>
      <c r="C122" s="229" t="str">
        <f>INDEX(per_1_postdoc,MATCH(Grid!$K$1,Beg_mos_postdoc))</f>
        <v>July - September</v>
      </c>
      <c r="D122" s="229" t="str" cm="1">
        <f t="array" ref="D122">INDEX(FY_postdoc,MATCH($B$8&amp;$C$119,date_postdoc&amp;cal_mos_postdoc,0))</f>
        <v>FY29</v>
      </c>
      <c r="E122" s="229">
        <f>VLOOKUP(C122,Grid2!$I$44:$J$55,2,FALSE)</f>
        <v>3</v>
      </c>
      <c r="F122" s="246" cm="1">
        <f t="array" ref="F122">INDEX(PX_salary2,MATCH(E121&amp;D122,exp_level_2&amp;PXFY2,0))</f>
        <v>8358.3660757030011</v>
      </c>
      <c r="G122" s="215">
        <f>Year1!G122</f>
        <v>1</v>
      </c>
      <c r="H122" s="11">
        <f>ROUND(B121*E122*F122*G122,0)</f>
        <v>0</v>
      </c>
    </row>
    <row r="123" spans="2:8" x14ac:dyDescent="0.2">
      <c r="B123" s="442"/>
      <c r="C123" s="229" t="str">
        <f>INDEX(Per_2_postdoc,MATCH(Grid!$K$1,Beg_mos_postdoc))</f>
        <v>October - June</v>
      </c>
      <c r="D123" s="229" t="str" cm="1">
        <f t="array" ref="D123">INDEX(FY_postdoc,MATCH($B$8&amp;$C$120,date_postdoc&amp;cal_mos_postdoc,0))</f>
        <v>FY30</v>
      </c>
      <c r="E123" s="229">
        <f>VLOOKUP(C123,Grid2!$K$44:$L$55,2,FALSE)</f>
        <v>9</v>
      </c>
      <c r="F123" s="246" cm="1">
        <f t="array" ref="F123">INDEX(PX_salary2,MATCH(E121&amp;D123,exp_level_2&amp;PXFY2,0))</f>
        <v>8609.1170579740919</v>
      </c>
      <c r="G123" s="215">
        <f>Year1!G123</f>
        <v>1</v>
      </c>
      <c r="H123" s="11">
        <f>ROUND(B121*E123*F123*G123,0)</f>
        <v>0</v>
      </c>
    </row>
    <row r="124" spans="2:8" x14ac:dyDescent="0.2">
      <c r="B124" s="442">
        <f>Year1!B124</f>
        <v>0</v>
      </c>
      <c r="C124" s="455" t="s">
        <v>22</v>
      </c>
      <c r="D124" s="456" t="str">
        <f>Year1!D124</f>
        <v>Blank</v>
      </c>
      <c r="E124" s="458" t="str">
        <f>IF(AND(Year1!G124&gt;5996,Year1!G124&lt;6350),5,"Blank")</f>
        <v>Blank</v>
      </c>
      <c r="F124" s="459"/>
      <c r="G124" s="41"/>
      <c r="H124" s="11"/>
    </row>
    <row r="125" spans="2:8" x14ac:dyDescent="0.2">
      <c r="B125" s="442"/>
      <c r="C125" s="229" t="str">
        <f>INDEX(per_1_postdoc,MATCH(Grid!$K$1,Beg_mos_postdoc))</f>
        <v>July - September</v>
      </c>
      <c r="D125" s="229" t="str" cm="1">
        <f t="array" ref="D125">INDEX(FY_postdoc,MATCH($B$8&amp;$C$119,date_postdoc&amp;cal_mos_postdoc,0))</f>
        <v>FY29</v>
      </c>
      <c r="E125" s="229">
        <f>VLOOKUP(C125,Grid2!$I$44:$J$55,2,FALSE)</f>
        <v>3</v>
      </c>
      <c r="F125" s="246" cm="1">
        <f t="array" ref="F125">INDEX(PX_salary3,MATCH(E124&amp;D125,exp_level_3&amp;PXFY3,0))</f>
        <v>8597.1765350088026</v>
      </c>
      <c r="G125" s="215">
        <f>Year1!G125</f>
        <v>1</v>
      </c>
      <c r="H125" s="11">
        <f>ROUND(B124*E125*F125*G125,0)</f>
        <v>0</v>
      </c>
    </row>
    <row r="126" spans="2:8" x14ac:dyDescent="0.2">
      <c r="B126" s="442"/>
      <c r="C126" s="229" t="str">
        <f>INDEX(Per_2_postdoc,MATCH(Grid!$K$1,Beg_mos_postdoc))</f>
        <v>October - June</v>
      </c>
      <c r="D126" s="229" t="str" cm="1">
        <f t="array" ref="D126">INDEX(FY_postdoc,MATCH($B$8&amp;$C$120,date_postdoc&amp;cal_mos_postdoc,0))</f>
        <v>FY30</v>
      </c>
      <c r="E126" s="229">
        <f>VLOOKUP(C126,Grid2!$K$44:$L$55,2,FALSE)</f>
        <v>9</v>
      </c>
      <c r="F126" s="246" cm="1">
        <f t="array" ref="F126">INDEX(PX_salary3,MATCH(E124&amp;D126,exp_level_3&amp;PXFY3,0))</f>
        <v>8855.0918310590678</v>
      </c>
      <c r="G126" s="215">
        <f>Year1!G126</f>
        <v>1</v>
      </c>
      <c r="H126" s="11">
        <f>ROUND(B124*E126*F126*G126,0)</f>
        <v>0</v>
      </c>
    </row>
    <row r="127" spans="2:8" x14ac:dyDescent="0.2">
      <c r="B127" s="442">
        <f>Year1!B127</f>
        <v>0</v>
      </c>
      <c r="C127" s="6" t="s">
        <v>22</v>
      </c>
      <c r="D127" s="242">
        <f>IF(Year2!D127=Blank,"Blank",Year3!D127+1)</f>
        <v>7</v>
      </c>
      <c r="E127" s="458">
        <f>IF(D127=Blank,"Blank",D127+1)</f>
        <v>8</v>
      </c>
      <c r="F127" s="460"/>
      <c r="G127" s="41"/>
      <c r="H127" s="11"/>
    </row>
    <row r="128" spans="2:8" x14ac:dyDescent="0.2">
      <c r="B128" s="442"/>
      <c r="C128" s="229" t="str">
        <f>INDEX(per_1_postdoc,MATCH(Grid!$K$1,Beg_mos_postdoc))</f>
        <v>July - September</v>
      </c>
      <c r="D128" s="229" t="str" cm="1">
        <f t="array" ref="D128">INDEX(FY_postdoc,MATCH($B$8&amp;$C$119,date_postdoc&amp;cal_mos_postdoc,0))</f>
        <v>FY29</v>
      </c>
      <c r="E128" s="229">
        <f>VLOOKUP(C128,Grid2!$I$44:$J$55,2,FALSE)</f>
        <v>3</v>
      </c>
      <c r="F128" s="246" cm="1">
        <f t="array" ref="F128">INDEX(MonthlySalaryPX,MATCH(D127&amp;D128,PXlevel&amp;FYPX,0))</f>
        <v>7579.5124999999998</v>
      </c>
      <c r="G128" s="215">
        <f>Year1!G128</f>
        <v>1</v>
      </c>
      <c r="H128" s="11">
        <f>ROUND(B127*E128*F128*G128,0)</f>
        <v>0</v>
      </c>
    </row>
    <row r="129" spans="2:8" x14ac:dyDescent="0.2">
      <c r="B129" s="442"/>
      <c r="C129" s="229" t="str">
        <f>INDEX(Per_2_postdoc,MATCH(Grid!$K$1,Beg_mos_postdoc))</f>
        <v>October - June</v>
      </c>
      <c r="D129" s="229" t="str" cm="1">
        <f t="array" ref="D129">INDEX(FY_postdoc,MATCH($B$8&amp;$C$120,date_postdoc&amp;cal_mos_postdoc,0))</f>
        <v>FY30</v>
      </c>
      <c r="E129" s="229">
        <f>VLOOKUP(C129,Grid2!$K$44:$L$55,2,FALSE)</f>
        <v>9</v>
      </c>
      <c r="F129" s="246" cm="1">
        <f t="array" ref="F129">INDEX(MonthlySalaryPX,MATCH(E127&amp;D129,PXlevel&amp;FYPX,0))</f>
        <v>7806.9</v>
      </c>
      <c r="G129" s="215">
        <f>Year1!G129</f>
        <v>1</v>
      </c>
      <c r="H129" s="11">
        <f>ROUND(B127*E129*F129*G129,0)</f>
        <v>0</v>
      </c>
    </row>
    <row r="130" spans="2:8" x14ac:dyDescent="0.2">
      <c r="B130" s="442">
        <f>Year1!B130</f>
        <v>0</v>
      </c>
      <c r="C130" s="6" t="s">
        <v>22</v>
      </c>
      <c r="D130" s="242">
        <f>IF(Year2!D130=Blank,"Blank",Year3!D130+1)</f>
        <v>8</v>
      </c>
      <c r="E130" s="458">
        <f>IF(D130=Blank,"Blank",D130+1)</f>
        <v>9</v>
      </c>
      <c r="F130" s="460"/>
      <c r="G130" s="41"/>
      <c r="H130" s="11"/>
    </row>
    <row r="131" spans="2:8" x14ac:dyDescent="0.2">
      <c r="B131" s="442"/>
      <c r="C131" s="229" t="str">
        <f>INDEX(per_1_postdoc,MATCH(Grid!$K$1,Beg_mos_postdoc))</f>
        <v>July - September</v>
      </c>
      <c r="D131" s="229" t="str" cm="1">
        <f t="array" ref="D131">INDEX(FY_postdoc,MATCH($B$8&amp;$C$119,date_postdoc&amp;cal_mos_postdoc,0))</f>
        <v>FY29</v>
      </c>
      <c r="E131" s="229">
        <f>VLOOKUP(C131,Grid2!$I$44:$J$55,2,FALSE)</f>
        <v>3</v>
      </c>
      <c r="F131" s="246" cm="1">
        <f t="array" ref="F131">INDEX(MonthlySalaryPX,MATCH(D130&amp;D131,PXlevel&amp;FYPX,0))</f>
        <v>7579.5124999999998</v>
      </c>
      <c r="G131" s="215">
        <f>Year1!G131</f>
        <v>1</v>
      </c>
      <c r="H131" s="11">
        <f>ROUND(B130*E131*F131*G131,0)</f>
        <v>0</v>
      </c>
    </row>
    <row r="132" spans="2:8" x14ac:dyDescent="0.2">
      <c r="B132" s="442"/>
      <c r="C132" s="229" t="str">
        <f>INDEX(Per_2_postdoc,MATCH(Grid!$K$1,Beg_mos_postdoc))</f>
        <v>October - June</v>
      </c>
      <c r="D132" s="229" t="str" cm="1">
        <f t="array" ref="D132">INDEX(FY_postdoc,MATCH($B$8&amp;$C$120,date_postdoc&amp;cal_mos_postdoc,0))</f>
        <v>FY30</v>
      </c>
      <c r="E132" s="229">
        <f>VLOOKUP(C132,Grid2!$K$44:$L$55,2,FALSE)</f>
        <v>9</v>
      </c>
      <c r="F132" s="246" cm="1">
        <f t="array" ref="F132">INDEX(MonthlySalaryPX,MATCH(E130&amp;D132,PXlevel&amp;FYPX,0))</f>
        <v>7806.9</v>
      </c>
      <c r="G132" s="215">
        <f>Year1!G132</f>
        <v>1</v>
      </c>
      <c r="H132" s="11">
        <f>ROUND(B130*E132*F132*G132,0)</f>
        <v>0</v>
      </c>
    </row>
    <row r="133" spans="2:8" x14ac:dyDescent="0.2">
      <c r="B133" s="442">
        <f>Year1!B133</f>
        <v>0</v>
      </c>
      <c r="C133" s="6" t="s">
        <v>22</v>
      </c>
      <c r="D133" s="242">
        <f>IF(Year2!D133=Blank,"Blank",Year3!D133+1)</f>
        <v>8</v>
      </c>
      <c r="E133" s="458">
        <f>IF(D133=Blank,"Blank",D133+1)</f>
        <v>9</v>
      </c>
      <c r="F133" s="460"/>
      <c r="G133" s="41"/>
      <c r="H133" s="11"/>
    </row>
    <row r="134" spans="2:8" x14ac:dyDescent="0.2">
      <c r="B134" s="442"/>
      <c r="C134" s="229" t="str">
        <f>INDEX(per_1_postdoc,MATCH(Grid!$K$1,Beg_mos_postdoc))</f>
        <v>July - September</v>
      </c>
      <c r="D134" s="229" t="str" cm="1">
        <f t="array" ref="D134">INDEX(FY_postdoc,MATCH($B$8&amp;$C$119,date_postdoc&amp;cal_mos_postdoc,0))</f>
        <v>FY29</v>
      </c>
      <c r="E134" s="229">
        <f>VLOOKUP(C134,Grid2!$I$44:$J$55,2,FALSE)</f>
        <v>3</v>
      </c>
      <c r="F134" s="246" cm="1">
        <f t="array" ref="F134">INDEX(MonthlySalaryPX,MATCH(D133&amp;D134,PXlevel&amp;FYPX,0))</f>
        <v>7579.5124999999998</v>
      </c>
      <c r="G134" s="215">
        <f>Year1!G134</f>
        <v>1</v>
      </c>
      <c r="H134" s="11">
        <f>ROUND(B133*E134*F134*G134,0)</f>
        <v>0</v>
      </c>
    </row>
    <row r="135" spans="2:8" x14ac:dyDescent="0.2">
      <c r="B135" s="442"/>
      <c r="C135" s="229" t="str">
        <f>INDEX(Per_2_postdoc,MATCH(Grid!$K$1,Beg_mos_postdoc))</f>
        <v>October - June</v>
      </c>
      <c r="D135" s="229" t="str" cm="1">
        <f t="array" ref="D135">INDEX(FY_postdoc,MATCH($B$8&amp;$C$120,date_postdoc&amp;cal_mos_postdoc,0))</f>
        <v>FY30</v>
      </c>
      <c r="E135" s="229">
        <f>VLOOKUP(C135,Grid2!$K$44:$L$55,2,FALSE)</f>
        <v>9</v>
      </c>
      <c r="F135" s="246" cm="1">
        <f t="array" ref="F135">INDEX(MonthlySalaryPX,MATCH(E133&amp;D135,PXlevel&amp;FYPX,0))</f>
        <v>7806.9</v>
      </c>
      <c r="G135" s="215">
        <f>Year1!G135</f>
        <v>1</v>
      </c>
      <c r="H135" s="11">
        <f>ROUND(B133*E135*F135*G135,0)</f>
        <v>0</v>
      </c>
    </row>
    <row r="136" spans="2:8" x14ac:dyDescent="0.2">
      <c r="B136" s="442">
        <f>Year1!B136</f>
        <v>0</v>
      </c>
      <c r="C136" s="6" t="s">
        <v>22</v>
      </c>
      <c r="D136" s="242">
        <f>IF(Year2!D136=Blank,"Blank",Year3!D136+1)</f>
        <v>8</v>
      </c>
      <c r="E136" s="458">
        <f>IF(D136=Blank,"Blank",D136+1)</f>
        <v>9</v>
      </c>
      <c r="F136" s="460"/>
      <c r="G136" s="41"/>
      <c r="H136" s="11"/>
    </row>
    <row r="137" spans="2:8" x14ac:dyDescent="0.2">
      <c r="B137" s="442"/>
      <c r="C137" s="229" t="str">
        <f>INDEX(per_1_postdoc,MATCH(Grid!$K$1,Beg_mos_postdoc))</f>
        <v>July - September</v>
      </c>
      <c r="D137" s="229" t="str" cm="1">
        <f t="array" ref="D137">INDEX(FY_postdoc,MATCH($B$8&amp;$C$119,date_postdoc&amp;cal_mos_postdoc,0))</f>
        <v>FY29</v>
      </c>
      <c r="E137" s="229">
        <f>VLOOKUP(C137,Grid2!$I$44:$J$55,2,FALSE)</f>
        <v>3</v>
      </c>
      <c r="F137" s="246" cm="1">
        <f t="array" ref="F137">INDEX(MonthlySalaryPX,MATCH(D136&amp;D137,PXlevel&amp;FYPX,0))</f>
        <v>7579.5124999999998</v>
      </c>
      <c r="G137" s="215">
        <f>Year1!G137</f>
        <v>1</v>
      </c>
      <c r="H137" s="11">
        <f>ROUND(B136*E137*F137*G137,0)</f>
        <v>0</v>
      </c>
    </row>
    <row r="138" spans="2:8" x14ac:dyDescent="0.2">
      <c r="B138" s="442"/>
      <c r="C138" s="229" t="str">
        <f>INDEX(Per_2_postdoc,MATCH(Grid!$K$1,Beg_mos_postdoc))</f>
        <v>October - June</v>
      </c>
      <c r="D138" s="229" t="str" cm="1">
        <f t="array" ref="D138">INDEX(FY_postdoc,MATCH($B$8&amp;$C$120,date_postdoc&amp;cal_mos_postdoc,0))</f>
        <v>FY30</v>
      </c>
      <c r="E138" s="229">
        <f>VLOOKUP(C138,Grid2!$K$44:$L$55,2,FALSE)</f>
        <v>9</v>
      </c>
      <c r="F138" s="246" cm="1">
        <f t="array" ref="F138">INDEX(MonthlySalaryPX,MATCH(E136&amp;D138,PXlevel&amp;FYPX,0))</f>
        <v>7806.9</v>
      </c>
      <c r="G138" s="215">
        <f>Year1!G138</f>
        <v>1</v>
      </c>
      <c r="H138" s="11">
        <f>ROUND(B136*E138*F138*G138,0)</f>
        <v>0</v>
      </c>
    </row>
    <row r="139" spans="2:8" x14ac:dyDescent="0.2">
      <c r="B139" s="442">
        <f>Year1!B139</f>
        <v>0</v>
      </c>
      <c r="C139" s="6" t="s">
        <v>22</v>
      </c>
      <c r="D139" s="242">
        <f>IF(Year2!D139=Blank,"Blank",Year3!D139+1)</f>
        <v>8</v>
      </c>
      <c r="E139" s="458">
        <f>IF(D139=Blank,"Blank",D139+1)</f>
        <v>9</v>
      </c>
      <c r="F139" s="460"/>
      <c r="G139" s="41"/>
      <c r="H139" s="11"/>
    </row>
    <row r="140" spans="2:8" x14ac:dyDescent="0.2">
      <c r="B140" s="442"/>
      <c r="C140" s="229" t="str">
        <f>INDEX(per_1_postdoc,MATCH(Grid!$K$1,Beg_mos_postdoc))</f>
        <v>July - September</v>
      </c>
      <c r="D140" s="229" t="str" cm="1">
        <f t="array" ref="D140">INDEX(FY_postdoc,MATCH($B$8&amp;$C$119,date_postdoc&amp;cal_mos_postdoc,0))</f>
        <v>FY29</v>
      </c>
      <c r="E140" s="229">
        <f>VLOOKUP(C140,Grid2!$I$44:$J$55,2,FALSE)</f>
        <v>3</v>
      </c>
      <c r="F140" s="246" cm="1">
        <f t="array" ref="F140">INDEX(MonthlySalaryPX,MATCH(D139&amp;D140,PXlevel&amp;FYPX,0))</f>
        <v>7579.5124999999998</v>
      </c>
      <c r="G140" s="215">
        <f>Year1!G140</f>
        <v>1</v>
      </c>
      <c r="H140" s="11">
        <f>ROUND(B139*E140*F140*G140,0)</f>
        <v>0</v>
      </c>
    </row>
    <row r="141" spans="2:8" x14ac:dyDescent="0.2">
      <c r="B141" s="442"/>
      <c r="C141" s="229" t="str">
        <f>INDEX(Per_2_postdoc,MATCH(Grid!$K$1,Beg_mos_postdoc))</f>
        <v>October - June</v>
      </c>
      <c r="D141" s="229" t="str" cm="1">
        <f t="array" ref="D141">INDEX(FY_postdoc,MATCH($B$8&amp;$C$120,date_postdoc&amp;cal_mos_postdoc,0))</f>
        <v>FY30</v>
      </c>
      <c r="E141" s="229">
        <f>VLOOKUP(C141,Grid2!$K$44:$L$55,2,FALSE)</f>
        <v>9</v>
      </c>
      <c r="F141" s="246" cm="1">
        <f t="array" ref="F141">INDEX(MonthlySalaryPX,MATCH(E139&amp;D141,PXlevel&amp;FYPX,0))</f>
        <v>7806.9</v>
      </c>
      <c r="G141" s="215">
        <f>Year1!G141</f>
        <v>1</v>
      </c>
      <c r="H141" s="11">
        <f>ROUND(B139*E141*F141*G141,0)</f>
        <v>0</v>
      </c>
    </row>
    <row r="142" spans="2:8" x14ac:dyDescent="0.2">
      <c r="B142" s="442">
        <f>Year1!B142</f>
        <v>0</v>
      </c>
      <c r="C142" s="6" t="s">
        <v>22</v>
      </c>
      <c r="D142" s="242">
        <f>IF(Year2!D142=Blank,"Blank",Year3!D142+1)</f>
        <v>8</v>
      </c>
      <c r="E142" s="458">
        <f>IF(D142=Blank,"Blank",D142+1)</f>
        <v>9</v>
      </c>
      <c r="F142" s="460"/>
      <c r="G142" s="41"/>
      <c r="H142" s="11"/>
    </row>
    <row r="143" spans="2:8" x14ac:dyDescent="0.2">
      <c r="B143" s="442"/>
      <c r="C143" s="229" t="str">
        <f>INDEX(per_1_postdoc,MATCH(Grid!$K$1,Beg_mos_postdoc))</f>
        <v>July - September</v>
      </c>
      <c r="D143" s="229" t="str" cm="1">
        <f t="array" ref="D143">INDEX(FY_postdoc,MATCH($B$8&amp;$C$119,date_postdoc&amp;cal_mos_postdoc,0))</f>
        <v>FY29</v>
      </c>
      <c r="E143" s="229">
        <f>VLOOKUP(C143,Grid2!$I$44:$J$55,2,FALSE)</f>
        <v>3</v>
      </c>
      <c r="F143" s="246" cm="1">
        <f t="array" ref="F143">INDEX(MonthlySalaryPX,MATCH(D142&amp;D143,PXlevel&amp;FYPX,0))</f>
        <v>7579.5124999999998</v>
      </c>
      <c r="G143" s="215">
        <f>Year1!G143</f>
        <v>1</v>
      </c>
      <c r="H143" s="11">
        <f>ROUND(B142*E143*F143*G143,0)</f>
        <v>0</v>
      </c>
    </row>
    <row r="144" spans="2:8" x14ac:dyDescent="0.2">
      <c r="B144" s="442"/>
      <c r="C144" s="229" t="str">
        <f>INDEX(Per_2_postdoc,MATCH(Grid!$K$1,Beg_mos_postdoc))</f>
        <v>October - June</v>
      </c>
      <c r="D144" s="229" t="str" cm="1">
        <f t="array" ref="D144">INDEX(FY_postdoc,MATCH($B$8&amp;$C$120,date_postdoc&amp;cal_mos_postdoc,0))</f>
        <v>FY30</v>
      </c>
      <c r="E144" s="229">
        <f>VLOOKUP(C144,Grid2!$K$44:$L$55,2,FALSE)</f>
        <v>9</v>
      </c>
      <c r="F144" s="246" cm="1">
        <f t="array" ref="F144">INDEX(MonthlySalaryPX,MATCH(E142&amp;D144,PXlevel&amp;FYPX,0))</f>
        <v>7806.9</v>
      </c>
      <c r="G144" s="215">
        <f>Year1!G144</f>
        <v>1</v>
      </c>
      <c r="H144" s="11">
        <f>ROUND(B142*E144*F144*G144,0)</f>
        <v>0</v>
      </c>
    </row>
    <row r="145" spans="1:8" x14ac:dyDescent="0.2">
      <c r="B145" s="442">
        <f>Year1!B145</f>
        <v>0</v>
      </c>
      <c r="C145" s="6" t="s">
        <v>22</v>
      </c>
      <c r="D145" s="242">
        <f>IF(Year2!D145=Blank,"Blank",Year3!D145+1)</f>
        <v>8</v>
      </c>
      <c r="E145" s="458">
        <f>IF(D145=Blank,"Blank",D145+1)</f>
        <v>9</v>
      </c>
      <c r="F145" s="460"/>
      <c r="G145" s="41"/>
      <c r="H145" s="11"/>
    </row>
    <row r="146" spans="1:8" x14ac:dyDescent="0.2">
      <c r="B146" s="442"/>
      <c r="C146" s="229" t="str">
        <f>INDEX(per_1_postdoc,MATCH(Grid!$K$1,Beg_mos_postdoc))</f>
        <v>July - September</v>
      </c>
      <c r="D146" s="229" t="str" cm="1">
        <f t="array" ref="D146">INDEX(FY_postdoc,MATCH($B$8&amp;$C$119,date_postdoc&amp;cal_mos_postdoc,0))</f>
        <v>FY29</v>
      </c>
      <c r="E146" s="229">
        <f>VLOOKUP(C146,Grid2!$I$44:$J$55,2,FALSE)</f>
        <v>3</v>
      </c>
      <c r="F146" s="246" cm="1">
        <f t="array" ref="F146">INDEX(MonthlySalaryPX,MATCH(D145&amp;D146,PXlevel&amp;FYPX,0))</f>
        <v>7579.5124999999998</v>
      </c>
      <c r="G146" s="215">
        <f>Year1!G146</f>
        <v>1</v>
      </c>
      <c r="H146" s="11">
        <f>ROUND(B145*E146*F146*G146,0)</f>
        <v>0</v>
      </c>
    </row>
    <row r="147" spans="1:8" x14ac:dyDescent="0.2">
      <c r="B147" s="442"/>
      <c r="C147" s="229" t="str">
        <f>INDEX(Per_2_postdoc,MATCH(Grid!$K$1,Beg_mos_postdoc))</f>
        <v>October - June</v>
      </c>
      <c r="D147" s="229" t="str" cm="1">
        <f t="array" ref="D147">INDEX(FY_postdoc,MATCH($B$8&amp;$C$120,date_postdoc&amp;cal_mos_postdoc,0))</f>
        <v>FY30</v>
      </c>
      <c r="E147" s="229">
        <f>VLOOKUP(C147,Grid2!$K$44:$L$55,2,FALSE)</f>
        <v>9</v>
      </c>
      <c r="F147" s="246" cm="1">
        <f t="array" ref="F147">INDEX(MonthlySalaryPX,MATCH(E145&amp;D147,PXlevel&amp;FYPX,0))</f>
        <v>7806.9</v>
      </c>
      <c r="G147" s="215">
        <f>Year1!G147</f>
        <v>1</v>
      </c>
      <c r="H147" s="11">
        <f>ROUND(B145*E147*F147*G147,0)</f>
        <v>0</v>
      </c>
    </row>
    <row r="148" spans="1:8" ht="13.5" thickBot="1" x14ac:dyDescent="0.25">
      <c r="C148" s="13" t="s">
        <v>133</v>
      </c>
      <c r="D148" s="427" t="s">
        <v>1127</v>
      </c>
      <c r="E148" s="224"/>
      <c r="F148" s="297">
        <f>H147+H146+H144+H143+H141+H140+H138+H137+H135+H134+H132+H131+H129+H128+H120+H119+H116+H115+H114+H112+H111+H110+H108+H107+H106+H104+H103+H102+H122+H123+H125+H126</f>
        <v>0</v>
      </c>
      <c r="G148" s="8" t="s">
        <v>9</v>
      </c>
      <c r="H148" s="21">
        <f>IF(Year1!H8=1,0,IF(Year1!H8=2,0,IF(Year1!H8=3,0,SUM(H84:H147))))</f>
        <v>0</v>
      </c>
    </row>
    <row r="149" spans="1:8" ht="13.5" thickBot="1" x14ac:dyDescent="0.25">
      <c r="A149" s="292" t="s">
        <v>15</v>
      </c>
      <c r="B149" s="234"/>
      <c r="C149" s="234"/>
      <c r="D149" s="234"/>
      <c r="E149" s="234"/>
      <c r="F149" s="234"/>
      <c r="G149" s="234"/>
      <c r="H149" s="293">
        <f>H148+H81+H23</f>
        <v>0</v>
      </c>
    </row>
    <row r="150" spans="1:8" x14ac:dyDescent="0.2">
      <c r="A150" s="3" t="s">
        <v>16</v>
      </c>
      <c r="B150" s="2"/>
      <c r="C150" s="2"/>
      <c r="D150" s="2"/>
      <c r="E150" s="2"/>
      <c r="F150" s="2"/>
      <c r="G150" s="14" t="s">
        <v>20</v>
      </c>
      <c r="H150" s="121" t="s">
        <v>8</v>
      </c>
    </row>
    <row r="151" spans="1:8" x14ac:dyDescent="0.2">
      <c r="A151" s="5"/>
      <c r="B151" s="6" t="s">
        <v>19</v>
      </c>
      <c r="C151" s="6"/>
      <c r="D151" s="6"/>
      <c r="E151" s="6"/>
      <c r="F151" s="262" t="s">
        <v>543</v>
      </c>
      <c r="G151" s="23">
        <f>LOOKUP($B$8,Grid!$E$331:$E$414,Grid!$H$331:$H$414)</f>
        <v>0.153</v>
      </c>
      <c r="H151" s="11">
        <f>(SUMIF($B$12:$B$22,"Academic",$H$12:$H$22)*$G$151)</f>
        <v>0</v>
      </c>
    </row>
    <row r="152" spans="1:8" x14ac:dyDescent="0.2">
      <c r="A152" s="5"/>
      <c r="B152" s="6"/>
      <c r="C152" s="6"/>
      <c r="D152" s="6"/>
      <c r="E152" s="6"/>
      <c r="F152" s="262" t="s">
        <v>1185</v>
      </c>
      <c r="G152" s="23">
        <f>LOOKUP($B$8,Grid!$E$331:$E$414,Grid!$G$331:$G$414)</f>
        <v>0.36799999999999999</v>
      </c>
      <c r="H152" s="11">
        <f>(SUMIF($B$12:$B$22,"Calendar",$H$12:$H$22)*$G$152)</f>
        <v>0</v>
      </c>
    </row>
    <row r="153" spans="1:8" x14ac:dyDescent="0.2">
      <c r="A153" s="5"/>
      <c r="B153" s="6"/>
      <c r="C153" s="6"/>
      <c r="D153" s="6"/>
      <c r="E153" s="6"/>
      <c r="F153" s="262" t="s">
        <v>1184</v>
      </c>
      <c r="G153" s="23">
        <f>LOOKUP($B$8,Grid!$E$331:$E$414,Grid!$I$331:$I$414)</f>
        <v>0.153</v>
      </c>
      <c r="H153" s="11">
        <f>(SUMIF($B$12:$B$22,"Recall",$H$12:$H$22)*$G$153)</f>
        <v>0</v>
      </c>
    </row>
    <row r="154" spans="1:8" x14ac:dyDescent="0.2">
      <c r="A154" s="5"/>
      <c r="B154" s="6"/>
      <c r="C154" s="6"/>
      <c r="D154" s="13" t="s">
        <v>208</v>
      </c>
      <c r="E154" s="60">
        <f>C25+C33+C41+C49+C57+C65+C73</f>
        <v>0</v>
      </c>
      <c r="F154" s="6"/>
      <c r="G154" s="23"/>
      <c r="H154" s="11"/>
    </row>
    <row r="155" spans="1:8" x14ac:dyDescent="0.2">
      <c r="A155" s="5"/>
      <c r="B155" s="6"/>
      <c r="C155" s="15" t="s">
        <v>52</v>
      </c>
      <c r="D155" s="15"/>
      <c r="E155" s="218">
        <f>Year1!E155</f>
        <v>0</v>
      </c>
      <c r="F155" s="22"/>
      <c r="G155" s="24"/>
      <c r="H155" s="25"/>
    </row>
    <row r="156" spans="1:8" x14ac:dyDescent="0.2">
      <c r="A156" s="5"/>
      <c r="B156" s="22"/>
      <c r="C156" s="15" t="s">
        <v>53</v>
      </c>
      <c r="D156" s="15"/>
      <c r="E156" s="218">
        <f>Year1!E156</f>
        <v>0</v>
      </c>
      <c r="F156" s="22"/>
      <c r="G156" s="24"/>
      <c r="H156" s="25"/>
    </row>
    <row r="157" spans="1:8" x14ac:dyDescent="0.2">
      <c r="A157" s="5"/>
      <c r="B157" s="22"/>
      <c r="C157" s="15"/>
      <c r="D157" s="15" t="s">
        <v>550</v>
      </c>
      <c r="E157" s="13"/>
      <c r="F157" s="13" t="s">
        <v>551</v>
      </c>
      <c r="G157" s="24"/>
      <c r="H157" s="25"/>
    </row>
    <row r="158" spans="1:8" x14ac:dyDescent="0.2">
      <c r="A158" s="5"/>
      <c r="B158" s="22" t="s">
        <v>21</v>
      </c>
      <c r="C158" s="22"/>
      <c r="D158" s="425">
        <f>LOOKUP($B$8,Grid!$E$230:$E$325,Grid!$G$230:$G$325)</f>
        <v>3919</v>
      </c>
      <c r="E158" s="113"/>
      <c r="F158" s="425">
        <f>LOOKUP($B$8,Grid!$E$230:$E$325,Grid!$H$230:$H$325)</f>
        <v>3919</v>
      </c>
      <c r="G158" s="26">
        <f>ROUND(D158+F158,0)</f>
        <v>7838</v>
      </c>
      <c r="H158" s="25">
        <f>IF(Year1!H8=1,0,IF(Year1!H8=2,0,IF(Year1!H8=3,0,(Year4!E155+Year4!E156)*Year4!G158)))</f>
        <v>0</v>
      </c>
    </row>
    <row r="159" spans="1:8" x14ac:dyDescent="0.2">
      <c r="A159" s="5"/>
      <c r="B159" s="22" t="s">
        <v>501</v>
      </c>
      <c r="C159" s="22"/>
      <c r="D159" s="425">
        <f>LOOKUP($B$8,Grid!$E$230:$E$325,Grid!$I$230:$I$325)</f>
        <v>9810</v>
      </c>
      <c r="E159" s="113"/>
      <c r="F159" s="425">
        <f>LOOKUP($B$8,Grid!$E$230:$E$325,Grid!$J$230:$J$325)</f>
        <v>9810</v>
      </c>
      <c r="G159" s="26">
        <f>ROUND(D159+F159,0)</f>
        <v>19620</v>
      </c>
      <c r="H159" s="25">
        <f>IF(Year1!H8=1,0,IF(Year1!H8=2,0,IF(Year1!H8=3,0,Year4!E155*Year4!G159)))</f>
        <v>0</v>
      </c>
    </row>
    <row r="160" spans="1:8" x14ac:dyDescent="0.2">
      <c r="A160" s="5"/>
      <c r="B160" s="22" t="s">
        <v>502</v>
      </c>
      <c r="C160" s="22"/>
      <c r="D160" s="425">
        <f>LOOKUP($B$8,Grid!$E$230:$E$325,Grid!$K$230:$K$325)</f>
        <v>9810</v>
      </c>
      <c r="E160" s="113"/>
      <c r="F160" s="425">
        <f>LOOKUP($B$8,Grid!$E$230:$E$325,Grid!$L$230:$L$325)</f>
        <v>9810</v>
      </c>
      <c r="G160" s="26">
        <f>ROUND(D160+F160,0)</f>
        <v>19620</v>
      </c>
      <c r="H160" s="25">
        <f>IF(Year1!H8=1,0,IF(Year1!H8=2,0,IF(Year1!H8=3,0,Year4!E156*Year4!G160)))</f>
        <v>0</v>
      </c>
    </row>
    <row r="161" spans="1:8" x14ac:dyDescent="0.2">
      <c r="A161" s="5"/>
      <c r="B161" s="22" t="s">
        <v>503</v>
      </c>
      <c r="C161" s="22"/>
      <c r="D161" s="425">
        <f>LOOKUP($B$8,Grid!$E$230:$E$325,Grid!$M$230:$M$325)</f>
        <v>9187</v>
      </c>
      <c r="E161" s="113"/>
      <c r="F161" s="425">
        <f>LOOKUP($B$8,Grid!$E$230:$E$325,Grid!$N$230:$N$325)</f>
        <v>9187</v>
      </c>
      <c r="G161" s="26">
        <f>ROUND(D161+F161,0)</f>
        <v>18374</v>
      </c>
      <c r="H161" s="25">
        <f>IF(Year1!H8=1,0,IF(Year1!H8=2,0,IF(Year1!H8=3,0,Year4!E156*Year4!G161)))</f>
        <v>0</v>
      </c>
    </row>
    <row r="162" spans="1:8" x14ac:dyDescent="0.2">
      <c r="A162" s="5"/>
      <c r="B162" s="6" t="s">
        <v>690</v>
      </c>
      <c r="C162" s="6"/>
      <c r="D162" s="6"/>
      <c r="E162" s="430" t="s">
        <v>20</v>
      </c>
      <c r="F162" s="431">
        <f>VLOOKUP(B8,Grid2!F60:G137,2,FALSE)</f>
        <v>7.7000000000000002E-3</v>
      </c>
      <c r="G162" s="246">
        <f>IF(OR(D10="Non-Federal"),(H149-F148-H81-H89-H90-H91)*(F162),H149*0)</f>
        <v>0</v>
      </c>
      <c r="H162" s="11">
        <f>IF(Year1!$H$8=1,0,IF(Year1!$H$8=2,0,IF(Year1!$H$8=3,0,G162)))</f>
        <v>0</v>
      </c>
    </row>
    <row r="163" spans="1:8" x14ac:dyDescent="0.2">
      <c r="A163" s="5"/>
      <c r="B163" s="6" t="s">
        <v>797</v>
      </c>
      <c r="C163" s="22"/>
      <c r="D163" s="204"/>
      <c r="E163" s="113"/>
      <c r="F163" s="204"/>
      <c r="G163" s="465">
        <f>LOOKUP($B$8,Grid!$E$142:$E$225,Grid!$J$142:$J$225)</f>
        <v>2.3E-2</v>
      </c>
      <c r="H163" s="25">
        <f>ROUND((H89+H81+H90+H91)*G163,0)</f>
        <v>0</v>
      </c>
    </row>
    <row r="164" spans="1:8" x14ac:dyDescent="0.2">
      <c r="A164" s="5"/>
      <c r="B164" s="22" t="s">
        <v>22</v>
      </c>
      <c r="C164" s="22"/>
      <c r="D164" s="22"/>
      <c r="E164" s="22"/>
      <c r="F164" s="22"/>
      <c r="G164" s="465">
        <f>LOOKUP($B$8,Grid!$E$142:$E$225,Grid!$I$142:$I$225)</f>
        <v>0.153</v>
      </c>
      <c r="H164" s="25">
        <f>ROUND((F148)*G164,0)</f>
        <v>0</v>
      </c>
    </row>
    <row r="165" spans="1:8" x14ac:dyDescent="0.2">
      <c r="A165" s="5"/>
      <c r="B165" s="22" t="s">
        <v>514</v>
      </c>
      <c r="C165" s="22"/>
      <c r="D165" s="22"/>
      <c r="E165" s="22"/>
      <c r="F165" s="22"/>
      <c r="G165" s="465">
        <f>LOOKUP($B$8,Grid!$E$142:$E$225,Grid!$G$142:$G$225)</f>
        <v>0.36799999999999999</v>
      </c>
      <c r="H165" s="25">
        <f>ROUND((H84+H85+H87+H88)*G165,0)</f>
        <v>0</v>
      </c>
    </row>
    <row r="166" spans="1:8" x14ac:dyDescent="0.2">
      <c r="A166" s="5"/>
      <c r="B166" s="6" t="s">
        <v>1302</v>
      </c>
      <c r="C166" s="22"/>
      <c r="D166" s="22"/>
      <c r="E166" s="22"/>
      <c r="F166" s="22"/>
      <c r="G166" s="465">
        <f>LOOKUP($B$8,Grid!$E$142:$E$225,Grid!$G$142:$G$225)</f>
        <v>0.36799999999999999</v>
      </c>
      <c r="H166" s="25">
        <f>ROUND((H97+H98)*G166,0)</f>
        <v>0</v>
      </c>
    </row>
    <row r="167" spans="1:8" ht="13.5" thickBot="1" x14ac:dyDescent="0.25">
      <c r="A167" s="5"/>
      <c r="B167" s="22" t="s">
        <v>107</v>
      </c>
      <c r="C167" s="22"/>
      <c r="D167" s="22"/>
      <c r="E167" s="22"/>
      <c r="F167" s="22"/>
      <c r="G167" s="465">
        <f>LOOKUP($B$8,Grid!$E$142:$E$225,Grid!$H$142:$H$225)</f>
        <v>0.44800000000000001</v>
      </c>
      <c r="H167" s="25">
        <f>ROUND(SUM(H92:H96)*G167,0)</f>
        <v>0</v>
      </c>
    </row>
    <row r="168" spans="1:8" ht="13.5" thickBot="1" x14ac:dyDescent="0.25">
      <c r="A168" s="292" t="s">
        <v>135</v>
      </c>
      <c r="B168" s="234"/>
      <c r="C168" s="234"/>
      <c r="D168" s="234"/>
      <c r="E168" s="234"/>
      <c r="F168" s="234"/>
      <c r="G168" s="236"/>
      <c r="H168" s="293">
        <f>IF(Year1!H8=1,0,IF(Year1!H8=2,0,IF(Year1!H8=3,0,SUM(H151:H167))))</f>
        <v>0</v>
      </c>
    </row>
    <row r="169" spans="1:8" ht="13.5" thickBot="1" x14ac:dyDescent="0.25">
      <c r="A169" s="292" t="s">
        <v>34</v>
      </c>
      <c r="B169" s="234"/>
      <c r="C169" s="234"/>
      <c r="D169" s="234"/>
      <c r="E169" s="234"/>
      <c r="F169" s="234"/>
      <c r="G169" s="234"/>
      <c r="H169" s="293">
        <f>H168+H149</f>
        <v>0</v>
      </c>
    </row>
    <row r="170" spans="1:8" x14ac:dyDescent="0.2">
      <c r="A170" s="224" t="s">
        <v>1</v>
      </c>
      <c r="B170" s="225"/>
      <c r="C170" s="230">
        <f>Year1!C6</f>
        <v>0</v>
      </c>
      <c r="D170" s="230"/>
      <c r="E170" s="230"/>
      <c r="F170" s="230"/>
      <c r="G170" s="230"/>
      <c r="H170" s="238"/>
    </row>
    <row r="171" spans="1:8" x14ac:dyDescent="0.2">
      <c r="A171" s="224" t="s">
        <v>2</v>
      </c>
      <c r="B171" s="239">
        <f>Year1!B7</f>
        <v>0</v>
      </c>
      <c r="C171" s="230"/>
      <c r="D171" s="230"/>
      <c r="E171" s="230"/>
      <c r="F171" s="230"/>
      <c r="G171" s="230"/>
      <c r="H171" s="240"/>
    </row>
    <row r="172" spans="1:8" x14ac:dyDescent="0.2">
      <c r="A172" s="224" t="str">
        <f>A8</f>
        <v>Year 4:</v>
      </c>
      <c r="B172" s="310">
        <f>B8</f>
        <v>47300</v>
      </c>
      <c r="C172" s="228" t="str">
        <f>C8</f>
        <v>through</v>
      </c>
      <c r="D172" s="310">
        <f>D8</f>
        <v>47664</v>
      </c>
      <c r="E172" s="227"/>
      <c r="F172" s="227"/>
      <c r="G172" s="227"/>
      <c r="H172" s="311"/>
    </row>
    <row r="173" spans="1:8" x14ac:dyDescent="0.2">
      <c r="A173" s="4" t="s">
        <v>23</v>
      </c>
      <c r="B173" s="27" t="s">
        <v>211</v>
      </c>
      <c r="C173" s="19"/>
      <c r="H173" s="9"/>
    </row>
    <row r="174" spans="1:8" x14ac:dyDescent="0.2">
      <c r="B174" s="6"/>
      <c r="C174" s="15" t="s">
        <v>24</v>
      </c>
      <c r="D174" s="15"/>
      <c r="E174" s="218">
        <v>0</v>
      </c>
      <c r="F174" s="15" t="s">
        <v>32</v>
      </c>
      <c r="G174" s="219">
        <v>3</v>
      </c>
      <c r="H174" s="122" t="s">
        <v>8</v>
      </c>
    </row>
    <row r="175" spans="1:8" x14ac:dyDescent="0.2">
      <c r="A175" s="5"/>
      <c r="C175" s="22"/>
      <c r="D175" s="22"/>
      <c r="E175" s="13" t="s">
        <v>25</v>
      </c>
      <c r="F175" s="13"/>
      <c r="G175" s="220">
        <v>0</v>
      </c>
      <c r="H175" s="25">
        <f>((G174*(C178+C179)+G177+G178+C177)*E174)*G175</f>
        <v>0</v>
      </c>
    </row>
    <row r="176" spans="1:8" x14ac:dyDescent="0.2">
      <c r="A176" s="5"/>
      <c r="B176" s="22"/>
      <c r="C176" s="22"/>
      <c r="D176" s="22"/>
      <c r="E176" s="13" t="s">
        <v>26</v>
      </c>
      <c r="F176" s="13"/>
      <c r="G176" s="220">
        <v>0</v>
      </c>
      <c r="H176" s="25">
        <f>((G174*(C178+C179)+G177+G179+C177)*E174)*G176</f>
        <v>0</v>
      </c>
    </row>
    <row r="177" spans="1:8" x14ac:dyDescent="0.2">
      <c r="A177" s="5"/>
      <c r="B177" s="13" t="s">
        <v>27</v>
      </c>
      <c r="C177" s="44">
        <v>600</v>
      </c>
      <c r="D177" s="44"/>
      <c r="E177" s="13" t="s">
        <v>75</v>
      </c>
      <c r="F177" s="22"/>
      <c r="G177" s="42">
        <v>75</v>
      </c>
      <c r="H177" s="21">
        <f>IF(Year1!H8=1,0,IF(Year1!H8=2,0,IF(Year1!H8=3,0,H175+H176)))</f>
        <v>0</v>
      </c>
    </row>
    <row r="178" spans="1:8" x14ac:dyDescent="0.2">
      <c r="A178" s="5"/>
      <c r="B178" s="13" t="s">
        <v>28</v>
      </c>
      <c r="C178" s="43">
        <v>92</v>
      </c>
      <c r="D178" s="43"/>
      <c r="E178" s="13" t="s">
        <v>30</v>
      </c>
      <c r="F178" s="22"/>
      <c r="G178" s="43">
        <v>650</v>
      </c>
      <c r="H178" s="25"/>
    </row>
    <row r="179" spans="1:8" x14ac:dyDescent="0.2">
      <c r="A179" s="20"/>
      <c r="B179" s="78" t="s">
        <v>29</v>
      </c>
      <c r="C179" s="79">
        <v>225</v>
      </c>
      <c r="D179" s="79"/>
      <c r="E179" s="78" t="s">
        <v>31</v>
      </c>
      <c r="F179" s="29"/>
      <c r="G179" s="79">
        <v>550</v>
      </c>
      <c r="H179" s="123"/>
    </row>
    <row r="180" spans="1:8" x14ac:dyDescent="0.2">
      <c r="A180" s="5"/>
      <c r="B180" s="27" t="s">
        <v>205</v>
      </c>
      <c r="C180" s="43"/>
      <c r="D180" s="43"/>
      <c r="E180" s="13"/>
      <c r="F180" s="22"/>
      <c r="G180" s="43"/>
      <c r="H180" s="25"/>
    </row>
    <row r="181" spans="1:8" x14ac:dyDescent="0.2">
      <c r="A181" s="5"/>
      <c r="B181" s="22"/>
      <c r="C181" s="15" t="s">
        <v>24</v>
      </c>
      <c r="D181" s="15"/>
      <c r="E181" s="218">
        <v>0</v>
      </c>
      <c r="F181" s="15" t="s">
        <v>32</v>
      </c>
      <c r="G181" s="219">
        <v>5</v>
      </c>
      <c r="H181" s="25"/>
    </row>
    <row r="182" spans="1:8" x14ac:dyDescent="0.2">
      <c r="A182" s="5"/>
      <c r="B182" s="13" t="s">
        <v>27</v>
      </c>
      <c r="C182" s="44">
        <v>1000</v>
      </c>
      <c r="D182" s="22"/>
      <c r="E182" s="13" t="s">
        <v>25</v>
      </c>
      <c r="F182" s="13"/>
      <c r="G182" s="220">
        <v>0</v>
      </c>
      <c r="H182" s="25">
        <f>((G181*(C183)+G184+C184+C182)*E181)*G182</f>
        <v>0</v>
      </c>
    </row>
    <row r="183" spans="1:8" x14ac:dyDescent="0.2">
      <c r="A183" s="5"/>
      <c r="B183" s="13" t="s">
        <v>33</v>
      </c>
      <c r="C183" s="43">
        <v>295</v>
      </c>
      <c r="D183" s="44"/>
      <c r="E183" s="13" t="s">
        <v>26</v>
      </c>
      <c r="F183" s="13"/>
      <c r="G183" s="220">
        <v>0</v>
      </c>
      <c r="H183" s="25">
        <f>((G181*(C183)+C184+G185+C182)*E181)*G183</f>
        <v>0</v>
      </c>
    </row>
    <row r="184" spans="1:8" x14ac:dyDescent="0.2">
      <c r="A184" s="5"/>
      <c r="B184" s="13" t="s">
        <v>206</v>
      </c>
      <c r="C184" s="42">
        <v>75</v>
      </c>
      <c r="D184" s="43"/>
      <c r="E184" s="13" t="s">
        <v>30</v>
      </c>
      <c r="F184" s="22"/>
      <c r="G184" s="43">
        <v>650</v>
      </c>
      <c r="H184" s="21">
        <f>IF(Year1!H8=1,0,IF(Year1!H8=2,0,IF(Year1!H8=3,0,H182+H183)))</f>
        <v>0</v>
      </c>
    </row>
    <row r="185" spans="1:8" ht="13.5" thickBot="1" x14ac:dyDescent="0.25">
      <c r="A185" s="80"/>
      <c r="B185" s="81"/>
      <c r="C185" s="81"/>
      <c r="D185" s="81"/>
      <c r="E185" s="82" t="s">
        <v>31</v>
      </c>
      <c r="F185" s="81"/>
      <c r="G185" s="83">
        <v>550</v>
      </c>
      <c r="H185" s="124"/>
    </row>
    <row r="186" spans="1:8" x14ac:dyDescent="0.2">
      <c r="A186" s="294" t="s">
        <v>45</v>
      </c>
      <c r="B186" s="225"/>
      <c r="C186" s="225"/>
      <c r="D186" s="225"/>
      <c r="E186" s="254"/>
      <c r="F186" s="225"/>
      <c r="G186" s="225"/>
      <c r="H186" s="312">
        <f>H177+H184</f>
        <v>0</v>
      </c>
    </row>
    <row r="187" spans="1:8" x14ac:dyDescent="0.2">
      <c r="A187" s="3" t="s">
        <v>35</v>
      </c>
      <c r="B187" s="2"/>
      <c r="C187" s="16" t="s">
        <v>73</v>
      </c>
      <c r="D187" s="16"/>
      <c r="E187" s="2"/>
      <c r="F187" s="2" t="s">
        <v>36</v>
      </c>
      <c r="G187" s="2"/>
      <c r="H187" s="125"/>
    </row>
    <row r="188" spans="1:8" x14ac:dyDescent="0.2">
      <c r="A188" s="5"/>
      <c r="B188" s="15">
        <v>1</v>
      </c>
      <c r="C188" s="221"/>
      <c r="D188" s="221"/>
      <c r="E188" s="221"/>
      <c r="F188" s="222"/>
      <c r="H188" s="9"/>
    </row>
    <row r="189" spans="1:8" x14ac:dyDescent="0.2">
      <c r="A189" s="5"/>
      <c r="B189" s="15">
        <v>2</v>
      </c>
      <c r="C189" s="221"/>
      <c r="D189" s="221"/>
      <c r="E189" s="221"/>
      <c r="F189" s="222">
        <v>0</v>
      </c>
      <c r="H189" s="9"/>
    </row>
    <row r="190" spans="1:8" ht="13.5" thickBot="1" x14ac:dyDescent="0.25">
      <c r="A190" s="5"/>
      <c r="B190" s="15">
        <v>3</v>
      </c>
      <c r="C190" s="221"/>
      <c r="D190" s="221"/>
      <c r="E190" s="221"/>
      <c r="F190" s="222">
        <v>0</v>
      </c>
      <c r="H190" s="9"/>
    </row>
    <row r="191" spans="1:8" x14ac:dyDescent="0.2">
      <c r="A191" s="295" t="s">
        <v>46</v>
      </c>
      <c r="B191" s="256"/>
      <c r="C191" s="256"/>
      <c r="D191" s="256"/>
      <c r="E191" s="256"/>
      <c r="F191" s="256"/>
      <c r="G191" s="256" t="s">
        <v>9</v>
      </c>
      <c r="H191" s="313">
        <f>IF(Year1!H8=1,0,IF(Year1!H8=2,0,IF(Year1!H8=3,0,SUM(F188:F190))))</f>
        <v>0</v>
      </c>
    </row>
    <row r="192" spans="1:8" x14ac:dyDescent="0.2">
      <c r="A192" s="3" t="s">
        <v>37</v>
      </c>
      <c r="B192" s="2"/>
      <c r="C192" s="2"/>
      <c r="D192" s="2"/>
      <c r="E192" s="2" t="s">
        <v>42</v>
      </c>
      <c r="F192" s="2" t="s">
        <v>36</v>
      </c>
      <c r="G192" s="469"/>
      <c r="H192" s="125"/>
    </row>
    <row r="193" spans="1:8" x14ac:dyDescent="0.2">
      <c r="A193" s="5"/>
      <c r="C193" s="13" t="s">
        <v>1195</v>
      </c>
      <c r="D193" s="13"/>
      <c r="E193" s="218">
        <v>0</v>
      </c>
      <c r="F193" s="223">
        <v>0</v>
      </c>
      <c r="G193" s="6"/>
      <c r="H193" s="11">
        <f>IF(Year1!H8=1,0,IF(Year1!H8=2,0,IF(Year1!H8=3,0,E193*F193)))</f>
        <v>0</v>
      </c>
    </row>
    <row r="194" spans="1:8" x14ac:dyDescent="0.2">
      <c r="A194" s="5"/>
      <c r="C194" s="13" t="s">
        <v>1192</v>
      </c>
      <c r="D194" s="13"/>
      <c r="E194" s="218">
        <v>0</v>
      </c>
      <c r="F194" s="223">
        <v>0</v>
      </c>
      <c r="G194" s="6"/>
      <c r="H194" s="11">
        <f>IF(Year1!H9=1,0,IF(Year1!H9=2,0,IF(Year1!H9=3,0,E194*F194)))</f>
        <v>0</v>
      </c>
    </row>
    <row r="195" spans="1:8" x14ac:dyDescent="0.2">
      <c r="A195" s="5"/>
      <c r="C195" s="13" t="s">
        <v>1193</v>
      </c>
      <c r="D195" s="13"/>
      <c r="E195" s="218">
        <v>0</v>
      </c>
      <c r="F195" s="223">
        <v>0</v>
      </c>
      <c r="G195" s="6"/>
      <c r="H195" s="11">
        <f>IF(Year1!H10=1,0,IF(Year1!H10=2,0,IF(Year1!H10=3,0,E195*F195)))</f>
        <v>0</v>
      </c>
    </row>
    <row r="196" spans="1:8" x14ac:dyDescent="0.2">
      <c r="A196" s="5"/>
      <c r="C196" s="13" t="s">
        <v>1194</v>
      </c>
      <c r="D196" s="13"/>
      <c r="E196" s="218">
        <v>0</v>
      </c>
      <c r="F196" s="223">
        <v>0</v>
      </c>
      <c r="G196" s="6"/>
      <c r="H196" s="11">
        <f>IF(Year1!H11=1,0,IF(Year1!H11=2,0,IF(Year1!H11=3,0,E196*F196)))</f>
        <v>0</v>
      </c>
    </row>
    <row r="197" spans="1:8" x14ac:dyDescent="0.2">
      <c r="A197" s="5"/>
      <c r="B197" s="6" t="s">
        <v>38</v>
      </c>
      <c r="C197" s="6"/>
      <c r="D197" s="13"/>
      <c r="E197" s="105"/>
      <c r="F197" s="41"/>
      <c r="G197" s="6"/>
      <c r="H197" s="11"/>
    </row>
    <row r="198" spans="1:8" x14ac:dyDescent="0.2">
      <c r="A198" s="5"/>
      <c r="C198" s="6" t="s">
        <v>90</v>
      </c>
      <c r="D198" s="6"/>
      <c r="E198" s="213">
        <v>0</v>
      </c>
      <c r="F198" s="41">
        <f>Year1!F198</f>
        <v>3740.14</v>
      </c>
      <c r="G198" s="6"/>
      <c r="H198" s="11">
        <f>IF(Year1!H8=1,0,IF(Year1!H8=2,0,IF(Year1!H8=3,0,E198*F198)))</f>
        <v>0</v>
      </c>
    </row>
    <row r="199" spans="1:8" x14ac:dyDescent="0.2">
      <c r="A199" s="5"/>
      <c r="C199" s="6" t="s">
        <v>39</v>
      </c>
      <c r="D199" s="6"/>
      <c r="E199" s="213">
        <f>Year1!E199</f>
        <v>0</v>
      </c>
      <c r="F199" s="41">
        <f>Year1!F199</f>
        <v>2940</v>
      </c>
      <c r="G199" s="6"/>
      <c r="H199" s="11">
        <f>IF(Year1!H8=1,0,IF(Year1!H8=2,0,IF(Year1!H8=3,0,E199*F199)))</f>
        <v>0</v>
      </c>
    </row>
    <row r="200" spans="1:8" x14ac:dyDescent="0.2">
      <c r="A200" s="5"/>
      <c r="C200" s="6" t="s">
        <v>260</v>
      </c>
      <c r="D200" s="6"/>
      <c r="E200" s="213">
        <f>Year1!E200</f>
        <v>0</v>
      </c>
      <c r="F200" s="41">
        <f>Year1!F200</f>
        <v>990</v>
      </c>
      <c r="G200" s="6"/>
      <c r="H200" s="11">
        <f>IF(Year1!H8=1,0,IF(Year1!H8=2,0,IF(Year1!H8=3,0,E200*F200)))</f>
        <v>0</v>
      </c>
    </row>
    <row r="201" spans="1:8" x14ac:dyDescent="0.2">
      <c r="A201" s="5"/>
      <c r="C201" s="6" t="s">
        <v>40</v>
      </c>
      <c r="D201" s="6"/>
      <c r="E201" s="213">
        <f>Year1!E201</f>
        <v>0</v>
      </c>
      <c r="F201" s="41">
        <f>Year1!F201</f>
        <v>105</v>
      </c>
      <c r="G201" s="213">
        <f>Year1!G201</f>
        <v>12</v>
      </c>
      <c r="H201" s="11">
        <f>IF(Year1!H8=1,0,IF(Year1!H8=2,0,IF(Year1!H8=3,0,E201*F201*G201)))</f>
        <v>0</v>
      </c>
    </row>
    <row r="202" spans="1:8" x14ac:dyDescent="0.2">
      <c r="A202" s="5"/>
      <c r="C202" s="6" t="s">
        <v>41</v>
      </c>
      <c r="D202" s="6"/>
      <c r="E202" s="213">
        <f>Year1!E202</f>
        <v>0</v>
      </c>
      <c r="F202" s="41">
        <f>Year1!F202</f>
        <v>5</v>
      </c>
      <c r="G202" s="213">
        <f>Year1!G202</f>
        <v>12</v>
      </c>
      <c r="H202" s="11">
        <f>IF(Year1!H8=1,0,IF(Year1!H8=2,0,IF(Year1!H8=3,0,E202*F202*G202)))</f>
        <v>0</v>
      </c>
    </row>
    <row r="203" spans="1:8" x14ac:dyDescent="0.2">
      <c r="A203" s="5"/>
      <c r="C203" s="6" t="s">
        <v>259</v>
      </c>
      <c r="D203" s="6"/>
      <c r="E203" s="213">
        <f>Year1!E203</f>
        <v>0</v>
      </c>
      <c r="F203" s="41">
        <f>Year1!F203</f>
        <v>10</v>
      </c>
      <c r="G203" s="213">
        <f>Year1!G203</f>
        <v>12</v>
      </c>
      <c r="H203" s="11">
        <f>IF(Year1!H8=1,0,IF(Year1!H8=2,0,IF(Year1!H8=3,0,E203*F203*G203)))</f>
        <v>0</v>
      </c>
    </row>
    <row r="204" spans="1:8" x14ac:dyDescent="0.2">
      <c r="A204" s="5"/>
      <c r="B204" s="6" t="s">
        <v>1141</v>
      </c>
      <c r="C204" s="6"/>
      <c r="D204" s="6"/>
      <c r="E204" s="213">
        <v>0</v>
      </c>
      <c r="F204" s="41">
        <f>Year1!F204</f>
        <v>90.4</v>
      </c>
      <c r="G204" s="213">
        <f>Year1!G204</f>
        <v>12</v>
      </c>
      <c r="H204" s="11">
        <f>IF(Year1!H8=1,0,IF(Year1!H8=2,0,IF(Year1!H8=3,0,E204*F204*G204)))</f>
        <v>0</v>
      </c>
    </row>
    <row r="205" spans="1:8" x14ac:dyDescent="0.2">
      <c r="A205" s="5"/>
      <c r="B205" s="6" t="s">
        <v>1142</v>
      </c>
      <c r="C205" s="6"/>
      <c r="D205" s="6"/>
      <c r="E205" s="6"/>
      <c r="F205" s="31"/>
      <c r="G205" s="6"/>
      <c r="H205" s="11"/>
    </row>
    <row r="206" spans="1:8" x14ac:dyDescent="0.2">
      <c r="A206" s="5"/>
      <c r="C206" s="6" t="s">
        <v>209</v>
      </c>
      <c r="D206" s="6"/>
      <c r="E206" s="213">
        <v>0</v>
      </c>
      <c r="F206" s="41">
        <f>Year1!F206</f>
        <v>1500</v>
      </c>
      <c r="G206" s="213">
        <f>Year1!G206</f>
        <v>12</v>
      </c>
      <c r="H206" s="11">
        <f>IF(Year1!H8=1,0,IF(Year1!H8=2,0,IF(Year1!H8=3,0,E206*F206*G206)))</f>
        <v>0</v>
      </c>
    </row>
    <row r="207" spans="1:8" x14ac:dyDescent="0.2">
      <c r="A207" s="5"/>
      <c r="C207" s="6" t="s">
        <v>210</v>
      </c>
      <c r="D207" s="6"/>
      <c r="E207" s="213">
        <v>0</v>
      </c>
      <c r="F207" s="41">
        <f>Year1!F207</f>
        <v>1600</v>
      </c>
      <c r="G207" s="213">
        <f>Year1!G207</f>
        <v>12</v>
      </c>
      <c r="H207" s="11">
        <f>IF(Year1!H8=1,0,IF(Year1!H8=2,0,IF(Year1!H8=3,0,E207*F207*G207)))</f>
        <v>0</v>
      </c>
    </row>
    <row r="208" spans="1:8" x14ac:dyDescent="0.2">
      <c r="A208" s="5"/>
      <c r="B208" s="6" t="s">
        <v>649</v>
      </c>
      <c r="C208" s="6"/>
      <c r="D208" s="6"/>
      <c r="E208" s="6"/>
      <c r="F208" s="195" t="s">
        <v>650</v>
      </c>
      <c r="G208" s="246">
        <f>IF(OR(D10="Non-Federal"),H149*0.0205,H149*0)</f>
        <v>0</v>
      </c>
      <c r="H208" s="11">
        <f>IF(Year1!$H$8=1,0,IF(Year1!$H$8=2,0,IF(Year1!$H$8=3,0,G208)))</f>
        <v>0</v>
      </c>
    </row>
    <row r="209" spans="1:11" x14ac:dyDescent="0.2">
      <c r="B209" s="6" t="s">
        <v>1196</v>
      </c>
      <c r="G209" s="221">
        <v>0</v>
      </c>
      <c r="H209" s="11">
        <f>IF(Year1!$H$8=1,0,IF(Year1!$H$8=2,0,IF(Year1!$H$8=3,0,G209)))</f>
        <v>0</v>
      </c>
    </row>
    <row r="210" spans="1:11" x14ac:dyDescent="0.2">
      <c r="A210" s="5"/>
      <c r="B210" s="6" t="s">
        <v>236</v>
      </c>
      <c r="C210" s="6"/>
      <c r="D210" s="6"/>
      <c r="E210" s="6"/>
      <c r="F210" s="195" t="s">
        <v>650</v>
      </c>
      <c r="G210" s="213">
        <v>0</v>
      </c>
      <c r="H210" s="11">
        <f>IF(Year1!$H$8=1,0,IF(Year1!$H$8=2,0,IF(Year1!$H$8=3,0,G210)))</f>
        <v>0</v>
      </c>
    </row>
    <row r="211" spans="1:11" x14ac:dyDescent="0.2">
      <c r="A211" s="5"/>
      <c r="B211" t="s">
        <v>261</v>
      </c>
      <c r="C211" s="6"/>
      <c r="D211" s="6"/>
      <c r="E211" s="6"/>
      <c r="F211" s="195" t="s">
        <v>650</v>
      </c>
      <c r="G211" s="213">
        <v>0</v>
      </c>
      <c r="H211" s="11">
        <f>IF(Year1!$H$8=1,0,IF(Year1!$H$8=2,0,IF(Year1!$H$8=3,0,G211)))</f>
        <v>0</v>
      </c>
    </row>
    <row r="212" spans="1:11" x14ac:dyDescent="0.2">
      <c r="A212" s="249" t="s">
        <v>424</v>
      </c>
      <c r="B212" s="6" t="s">
        <v>43</v>
      </c>
      <c r="C212" s="6"/>
      <c r="D212" s="6"/>
      <c r="E212" s="196" t="s">
        <v>650</v>
      </c>
      <c r="F212" s="247">
        <v>0</v>
      </c>
      <c r="G212" s="248">
        <f>Year1!G212</f>
        <v>12</v>
      </c>
      <c r="H212" s="11">
        <f>F212*G212</f>
        <v>0</v>
      </c>
    </row>
    <row r="213" spans="1:11" ht="13.5" thickBot="1" x14ac:dyDescent="0.25">
      <c r="A213" s="249" t="s">
        <v>418</v>
      </c>
      <c r="B213" s="6" t="s">
        <v>44</v>
      </c>
      <c r="C213" s="6"/>
      <c r="D213" s="6"/>
      <c r="E213" s="6"/>
      <c r="F213" s="6"/>
      <c r="G213" s="6"/>
      <c r="H213" s="11"/>
    </row>
    <row r="214" spans="1:11" ht="13.5" thickBot="1" x14ac:dyDescent="0.25">
      <c r="A214" s="292" t="s">
        <v>47</v>
      </c>
      <c r="B214" s="234"/>
      <c r="C214" s="234"/>
      <c r="D214" s="234"/>
      <c r="E214" s="234"/>
      <c r="F214" s="234"/>
      <c r="G214" s="234"/>
      <c r="H214" s="293">
        <f>SUM(H193:H213)</f>
        <v>0</v>
      </c>
    </row>
    <row r="215" spans="1:11" ht="13.5" thickBot="1" x14ac:dyDescent="0.25">
      <c r="A215" s="4" t="s">
        <v>49</v>
      </c>
      <c r="B215" s="494" t="s">
        <v>1197</v>
      </c>
      <c r="C215" s="234"/>
      <c r="D215" s="234"/>
      <c r="E215" s="234"/>
      <c r="F215" s="234"/>
      <c r="G215" s="234"/>
      <c r="H215" s="234"/>
    </row>
    <row r="216" spans="1:11" x14ac:dyDescent="0.2">
      <c r="A216" s="4"/>
      <c r="B216" s="330" t="str">
        <f>Year1!$B$216</f>
        <v>Yes</v>
      </c>
      <c r="C216" s="480">
        <f>Year1!C216</f>
        <v>0</v>
      </c>
      <c r="D216" s="6"/>
      <c r="E216" s="6"/>
      <c r="F216" s="214"/>
      <c r="G216" s="6"/>
      <c r="H216" s="10"/>
    </row>
    <row r="217" spans="1:11" x14ac:dyDescent="0.2">
      <c r="A217" s="4"/>
      <c r="B217" s="330" t="str">
        <f>Year1!$B$217</f>
        <v>Yes</v>
      </c>
      <c r="C217" s="472">
        <f>Year1!C217</f>
        <v>0</v>
      </c>
      <c r="D217" s="6"/>
      <c r="E217" s="6"/>
      <c r="F217" s="214"/>
      <c r="G217" s="6"/>
      <c r="H217" s="10"/>
      <c r="K217" s="12"/>
    </row>
    <row r="218" spans="1:11" x14ac:dyDescent="0.2">
      <c r="A218" s="4"/>
      <c r="B218" s="330" t="str">
        <f>Year1!$B$218</f>
        <v>No</v>
      </c>
      <c r="C218" s="472">
        <f>Year1!C218</f>
        <v>0</v>
      </c>
      <c r="D218" s="6"/>
      <c r="E218" s="6"/>
      <c r="F218" s="214"/>
      <c r="G218" s="6"/>
      <c r="H218" s="10"/>
      <c r="K218" s="12"/>
    </row>
    <row r="219" spans="1:11" x14ac:dyDescent="0.2">
      <c r="A219" s="4"/>
      <c r="B219" s="330" t="str">
        <f>Year1!$B$219</f>
        <v>No</v>
      </c>
      <c r="C219" s="472">
        <f>Year1!C219</f>
        <v>0</v>
      </c>
      <c r="D219" s="6"/>
      <c r="E219" s="6"/>
      <c r="F219" s="214"/>
      <c r="G219" s="6"/>
      <c r="H219" s="10"/>
      <c r="K219" s="12"/>
    </row>
    <row r="220" spans="1:11" ht="13.5" thickBot="1" x14ac:dyDescent="0.25">
      <c r="A220" s="4"/>
      <c r="B220" s="330" t="str">
        <f>Year1!$B$220</f>
        <v>No</v>
      </c>
      <c r="C220" s="481">
        <f>Year1!C220</f>
        <v>0</v>
      </c>
      <c r="D220" s="6"/>
      <c r="E220" s="6"/>
      <c r="F220" s="214"/>
      <c r="G220" s="6"/>
      <c r="H220" s="10"/>
      <c r="K220" s="12"/>
    </row>
    <row r="221" spans="1:11" x14ac:dyDescent="0.2">
      <c r="A221" s="255" t="s">
        <v>50</v>
      </c>
      <c r="B221" s="256"/>
      <c r="C221" s="256"/>
      <c r="D221" s="256"/>
      <c r="E221" s="256"/>
      <c r="F221" s="256"/>
      <c r="G221" s="256"/>
      <c r="H221" s="257">
        <f>SUM(F216:F220)</f>
        <v>0</v>
      </c>
      <c r="K221" s="12"/>
    </row>
    <row r="222" spans="1:11" x14ac:dyDescent="0.2">
      <c r="A222" s="237" t="s">
        <v>48</v>
      </c>
      <c r="B222" s="258"/>
      <c r="C222" s="227"/>
      <c r="D222" s="227"/>
      <c r="E222" s="227"/>
      <c r="F222" s="227"/>
      <c r="G222" s="227"/>
      <c r="H222" s="259">
        <f>H221+H214+H191+H186+H169</f>
        <v>0</v>
      </c>
      <c r="J222" s="12"/>
    </row>
    <row r="223" spans="1:11" x14ac:dyDescent="0.2">
      <c r="A223" s="237" t="s">
        <v>154</v>
      </c>
      <c r="B223" s="225"/>
      <c r="C223" s="260" t="s">
        <v>807</v>
      </c>
      <c r="D223" s="225"/>
      <c r="E223" s="225"/>
      <c r="F223" s="261">
        <f>H222-(H202+H191)-SUM(H158:H161)-SUM(H193:H196)-H221</f>
        <v>0</v>
      </c>
      <c r="G223" s="225"/>
      <c r="H223" s="263"/>
    </row>
    <row r="224" spans="1:11" x14ac:dyDescent="0.2">
      <c r="A224" s="264" t="s">
        <v>808</v>
      </c>
      <c r="B224" s="265"/>
      <c r="C224" s="266">
        <f>F223*E224</f>
        <v>0</v>
      </c>
      <c r="D224" s="298">
        <f>LOOKUP(B8,Grid!E40:E129,Grid!I40:I129)</f>
        <v>0.60499999999999998</v>
      </c>
      <c r="E224" s="299">
        <f>LOOKUP(B8,Grid!E40:E129,Grid!G40:G129)</f>
        <v>1</v>
      </c>
      <c r="F224" s="300">
        <f>ROUND(F223*D224*E224,0)</f>
        <v>0</v>
      </c>
      <c r="G224" s="284">
        <f>F224+F225</f>
        <v>0</v>
      </c>
      <c r="H224" s="301" t="s">
        <v>628</v>
      </c>
    </row>
    <row r="225" spans="1:8" x14ac:dyDescent="0.2">
      <c r="A225" s="264"/>
      <c r="B225" s="265"/>
      <c r="C225" s="266">
        <f>F223*E225</f>
        <v>0</v>
      </c>
      <c r="D225" s="298">
        <f>LOOKUP(B8,Grid!E40:E129,Grid!J40:J129)</f>
        <v>0.60499999999999998</v>
      </c>
      <c r="E225" s="299">
        <f>LOOKUP(B8,Grid!E40:E129,Grid!H40:H129)</f>
        <v>0</v>
      </c>
      <c r="F225" s="300">
        <f>F223*D225*E225</f>
        <v>0</v>
      </c>
      <c r="G225" s="225"/>
      <c r="H225" s="259"/>
    </row>
    <row r="226" spans="1:8" x14ac:dyDescent="0.2">
      <c r="A226" s="274" t="s">
        <v>809</v>
      </c>
      <c r="B226" s="275"/>
      <c r="C226" s="266">
        <f>H222*E226</f>
        <v>0</v>
      </c>
      <c r="D226" s="276">
        <f>LOOKUP($B$8,Grid!$E$40:$E$129,Grid!$I$40:$I$129)</f>
        <v>0.60499999999999998</v>
      </c>
      <c r="E226" s="277">
        <f>LOOKUP($B$8,Grid!$E$40:$E$129,Grid!$G$40:$G$129)</f>
        <v>1</v>
      </c>
      <c r="F226" s="278">
        <f>ROUND($H$222*$D$226*$E$226,0)</f>
        <v>0</v>
      </c>
      <c r="G226" s="279">
        <f>F226+F227</f>
        <v>0</v>
      </c>
      <c r="H226" s="280" t="s">
        <v>9</v>
      </c>
    </row>
    <row r="227" spans="1:8" x14ac:dyDescent="0.2">
      <c r="A227" s="274"/>
      <c r="B227" s="275"/>
      <c r="C227" s="266">
        <f>H222*E227</f>
        <v>0</v>
      </c>
      <c r="D227" s="276">
        <f>LOOKUP($B$8,Grid!$E$40:$E$129,Grid!$J$40:$J$129)</f>
        <v>0.60499999999999998</v>
      </c>
      <c r="E227" s="277">
        <f>LOOKUP($B$8,Grid!$E$40:$E$129,Grid!$H$40:$H$129)</f>
        <v>0</v>
      </c>
      <c r="F227" s="278">
        <f>ROUND($H$222*$D$227*$E$227,0)</f>
        <v>0</v>
      </c>
      <c r="G227" s="275"/>
      <c r="H227" s="281"/>
    </row>
    <row r="228" spans="1:8" x14ac:dyDescent="0.2">
      <c r="A228" s="237" t="s">
        <v>804</v>
      </c>
      <c r="B228" s="225"/>
      <c r="C228" s="225"/>
      <c r="D228" s="282"/>
      <c r="E228" s="283"/>
      <c r="F228" s="284"/>
      <c r="G228" s="285" t="str">
        <f>IF($C$9=Reference!$A$5,Reference!$E$5,IF($C$9=Reference!$A$6,Reference!$E$6,IF($C$9=Reference!$A$7,Reference!$E$7,"")))</f>
        <v/>
      </c>
      <c r="H228" s="259">
        <f>IF((AND($C$10="Modified Total Direct Costs",$C$9=Reference!$A$5)),$F$223*Reference!$E$5,IF((AND($C$10="Modified Total Direct Costs",$C$9=Reference!$A$6)),$F$223*Reference!$E$6,IF((AND($C$10="Modified Total Direct Costs",$C$9=Reference!$A$7)),$F$223*Reference!$E$7,IF((AND($C$10="Modified Total Direct Costs",$C$9=Reference!$A$2)),$G$224,IF((AND($C$10="Modified Total Direct Costs",$C$9=Reference!$A$3)),$G$224,IF((AND($C$10="Modified Total Direct Costs",$C$9=Reference!$A$4)),$G$224,IF((AND($C$10="Total Direct Costs",$C$9=Reference!$A$2)),$G$226,IF((AND($C$10="Total Direct Costs",$C$9=Reference!$A$3)),$G$226,IF((AND($C$10="Total Direct Costs",$C$9=Reference!$A$4)),$G$226,IF((AND($C$10="Total Direct Costs",$C$9=Reference!$A$5)),$H$222*Reference!$E$5,IF((AND($C$10="Total Direct Costs",$C$9=Reference!$A$6)),$H$222*Reference!$E$6,IF((AND($C$10="Total Direct Costs",$C$9=Reference!$A$7)),$H$222*Reference!$E$7,IF((AND($C$10="Total Costs",$C$9=Reference!$A$7)),($H$222/(1-Reference!$E$7)*Reference!$E$7))))))))))))))</f>
        <v>0</v>
      </c>
    </row>
    <row r="229" spans="1:8" x14ac:dyDescent="0.2">
      <c r="A229" s="237"/>
      <c r="B229" s="225"/>
      <c r="C229" s="225"/>
      <c r="D229" s="286"/>
      <c r="E229" s="314"/>
      <c r="F229" s="303"/>
      <c r="G229" s="308">
        <f>IF(C9=Reference!A2,Reference!E2,IF(C9=Reference!A5,Reference!E5,IF(C9=Reference!A6,Reference!E6,IF(C9=Reference!A7,Reference!E7,IF(C9=Reference!A3,Reference!E3,IF(C9=Reference!A4,Reference!E4))))))</f>
        <v>0.60499999999999998</v>
      </c>
      <c r="H229" s="259"/>
    </row>
    <row r="230" spans="1:8" ht="13.5" thickBot="1" x14ac:dyDescent="0.25">
      <c r="A230" s="288"/>
      <c r="B230" s="225"/>
      <c r="C230" s="225"/>
      <c r="D230" s="225"/>
      <c r="E230" s="225" t="s">
        <v>156</v>
      </c>
      <c r="F230" s="225"/>
      <c r="G230" s="225"/>
      <c r="H230" s="259">
        <f>H222+H228</f>
        <v>0</v>
      </c>
    </row>
    <row r="231" spans="1:8" ht="13.5" thickBot="1" x14ac:dyDescent="0.25">
      <c r="A231" s="482"/>
      <c r="B231" s="252"/>
      <c r="C231" s="252"/>
      <c r="D231" s="252"/>
      <c r="E231" s="252"/>
      <c r="F231" s="252"/>
      <c r="G231" s="252"/>
      <c r="H231" s="253"/>
    </row>
  </sheetData>
  <sheetProtection selectLockedCells="1"/>
  <phoneticPr fontId="4" type="noConversion"/>
  <dataValidations count="3">
    <dataValidation type="list" allowBlank="1" showInputMessage="1" showErrorMessage="1" sqref="C86 C83" xr:uid="{693CC537-2CC2-410A-925D-635419249207}">
      <formula1>Other_Personnel</formula1>
    </dataValidation>
    <dataValidation type="list" errorStyle="information" allowBlank="1" showInputMessage="1" showErrorMessage="1" error="To override the pick list and manually enter a name not on it, just select OK to this informational message." sqref="C12:C22" xr:uid="{66E912CF-43F0-46BB-813F-49DC173EF70D}">
      <formula1>Name</formula1>
    </dataValidation>
    <dataValidation type="list" allowBlank="1" showInputMessage="1" showErrorMessage="1" sqref="B216:B220" xr:uid="{FD4ACC1D-4568-413E-AE94-899AD9503045}">
      <formula1>"Yes,No"</formula1>
    </dataValidation>
  </dataValidations>
  <pageMargins left="0.7" right="0.7" top="0.75" bottom="0.75" header="0.3" footer="0.3"/>
  <pageSetup scale="65" orientation="portrait" r:id="rId1"/>
  <headerFooter alignWithMargins="0"/>
  <rowBreaks count="2" manualBreakCount="2">
    <brk id="72" max="16383" man="1"/>
    <brk id="149" max="16383" man="1"/>
  </rowBreaks>
  <ignoredErrors>
    <ignoredError sqref="F224:G227 G229 C9 D224:E22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29"/>
  </sheetPr>
  <dimension ref="A1:K236"/>
  <sheetViews>
    <sheetView zoomScaleNormal="100" workbookViewId="0">
      <selection activeCell="C184" sqref="C184"/>
    </sheetView>
  </sheetViews>
  <sheetFormatPr defaultColWidth="9.140625" defaultRowHeight="12.75" x14ac:dyDescent="0.2"/>
  <cols>
    <col min="1" max="1" width="10.140625" customWidth="1"/>
    <col min="2" max="2" width="13" customWidth="1"/>
    <col min="3" max="3" width="31.7109375" customWidth="1"/>
    <col min="4" max="4" width="12.85546875" customWidth="1"/>
    <col min="5" max="5" width="8.28515625" customWidth="1"/>
    <col min="6" max="6" width="16.85546875" customWidth="1"/>
    <col min="7" max="7" width="13" customWidth="1"/>
    <col min="8" max="8" width="14.28515625" customWidth="1"/>
  </cols>
  <sheetData>
    <row r="1" spans="1:8" ht="15" x14ac:dyDescent="0.2">
      <c r="C1" s="1"/>
      <c r="D1" s="1"/>
      <c r="F1" s="75" t="s">
        <v>0</v>
      </c>
    </row>
    <row r="2" spans="1:8" ht="18" x14ac:dyDescent="0.25">
      <c r="C2" s="1"/>
      <c r="D2" s="1"/>
      <c r="F2" s="76" t="s">
        <v>159</v>
      </c>
    </row>
    <row r="3" spans="1:8" ht="15" x14ac:dyDescent="0.2">
      <c r="C3" s="1"/>
      <c r="D3" s="1"/>
    </row>
    <row r="4" spans="1:8" x14ac:dyDescent="0.2">
      <c r="H4" s="320" t="str">
        <f>Year1!H4</f>
        <v>Ver.14.6 3/25</v>
      </c>
    </row>
    <row r="6" spans="1:8" x14ac:dyDescent="0.2">
      <c r="A6" s="224" t="s">
        <v>1</v>
      </c>
      <c r="B6" s="225"/>
      <c r="C6" s="318">
        <f>Year1!C6</f>
        <v>0</v>
      </c>
      <c r="D6" s="230"/>
      <c r="E6" s="230"/>
      <c r="F6" s="230"/>
      <c r="G6" s="230"/>
      <c r="H6" s="230"/>
    </row>
    <row r="7" spans="1:8" x14ac:dyDescent="0.2">
      <c r="A7" s="224" t="s">
        <v>2</v>
      </c>
      <c r="B7" s="317">
        <f>Year1!B7</f>
        <v>0</v>
      </c>
      <c r="C7" s="230"/>
      <c r="D7" s="230"/>
      <c r="E7" s="230"/>
      <c r="F7" s="230"/>
      <c r="G7" s="230"/>
      <c r="H7" s="229"/>
    </row>
    <row r="8" spans="1:8" x14ac:dyDescent="0.2">
      <c r="A8" s="224" t="s">
        <v>80</v>
      </c>
      <c r="B8" s="310">
        <f>Year4!D8+1</f>
        <v>47665</v>
      </c>
      <c r="C8" s="291" t="str">
        <f>Year1!C8</f>
        <v>through</v>
      </c>
      <c r="D8" s="226">
        <f>DATE(YEAR(B8)+1,MONTH(B8)-1+1,0)</f>
        <v>48029</v>
      </c>
      <c r="E8" s="229"/>
      <c r="F8" s="229"/>
      <c r="G8" s="229"/>
      <c r="H8" s="229"/>
    </row>
    <row r="9" spans="1:8" x14ac:dyDescent="0.2">
      <c r="A9" s="304" t="s">
        <v>3</v>
      </c>
      <c r="B9" s="305"/>
      <c r="C9" s="319" t="str">
        <f>Year1!C9</f>
        <v>On Campus Rate to 7/1//22-6/30/24 and until further notice</v>
      </c>
      <c r="D9" s="309"/>
      <c r="E9" s="229"/>
      <c r="F9" s="229"/>
      <c r="G9" s="229"/>
      <c r="H9" s="229"/>
    </row>
    <row r="10" spans="1:8" x14ac:dyDescent="0.2">
      <c r="A10" s="224" t="s">
        <v>200</v>
      </c>
      <c r="B10" s="225"/>
      <c r="C10" s="225" t="str">
        <f>Year1!C10</f>
        <v>Modified Total Direct Costs</v>
      </c>
      <c r="D10" s="225" t="str">
        <f>Year1!D10</f>
        <v>Federal</v>
      </c>
      <c r="E10" s="225"/>
      <c r="F10" s="225"/>
      <c r="G10" s="225"/>
      <c r="H10" s="225"/>
    </row>
    <row r="11" spans="1:8" ht="25.5" x14ac:dyDescent="0.2">
      <c r="A11" s="3" t="s">
        <v>5</v>
      </c>
      <c r="B11" s="14" t="s">
        <v>1190</v>
      </c>
      <c r="D11" s="426" t="s">
        <v>1186</v>
      </c>
      <c r="E11" s="71" t="s">
        <v>6</v>
      </c>
      <c r="F11" s="71" t="s">
        <v>199</v>
      </c>
      <c r="G11" s="71" t="s">
        <v>7</v>
      </c>
      <c r="H11" s="72" t="s">
        <v>8</v>
      </c>
    </row>
    <row r="12" spans="1:8" x14ac:dyDescent="0.2">
      <c r="A12" s="4" t="s">
        <v>4</v>
      </c>
      <c r="B12" s="225" t="str">
        <f>Year1!B12</f>
        <v>Academic</v>
      </c>
      <c r="C12" s="462" t="str">
        <f>Year1!C12</f>
        <v>Blank</v>
      </c>
      <c r="D12" s="463" t="str">
        <f>Year1!D12</f>
        <v>No</v>
      </c>
      <c r="E12" s="213">
        <f>Year1!E12</f>
        <v>0</v>
      </c>
      <c r="F12" s="424">
        <f>Year4!F12*1.04</f>
        <v>0</v>
      </c>
      <c r="G12" s="215">
        <f>Year1!G12</f>
        <v>1</v>
      </c>
      <c r="H12" s="11">
        <f>IF(AND($D$12="Yes",$F$12&gt;=Reference!$L$2),(Reference!$L$2*$E$12*$G$12),$F$12*$E$12*$G$12)</f>
        <v>0</v>
      </c>
    </row>
    <row r="13" spans="1:8" x14ac:dyDescent="0.2">
      <c r="A13" s="5"/>
      <c r="B13" s="225" t="str">
        <f>Year1!B13</f>
        <v>Academic</v>
      </c>
      <c r="C13" s="462" t="str">
        <f>Year1!C13</f>
        <v>Blank</v>
      </c>
      <c r="D13" s="463" t="str">
        <f>Year1!D13</f>
        <v>No</v>
      </c>
      <c r="E13" s="213">
        <f>Year1!E13</f>
        <v>0</v>
      </c>
      <c r="F13" s="424">
        <f>Year4!F13*1.04</f>
        <v>0</v>
      </c>
      <c r="G13" s="215">
        <f>Year1!G13</f>
        <v>1</v>
      </c>
      <c r="H13" s="11">
        <f>IF(AND($D$13="Yes",$F$13&gt;=Reference!$L$2),(Reference!$L$2*$E$13*$G$13),$F$13*$E$13*$G$13)</f>
        <v>0</v>
      </c>
    </row>
    <row r="14" spans="1:8" x14ac:dyDescent="0.2">
      <c r="A14" s="5"/>
      <c r="B14" s="225" t="str">
        <f>Year1!B14</f>
        <v>Academic</v>
      </c>
      <c r="C14" s="462" t="str">
        <f>Year1!C14</f>
        <v>Blank</v>
      </c>
      <c r="D14" s="463" t="str">
        <f>Year1!D14</f>
        <v>No</v>
      </c>
      <c r="E14" s="213">
        <f>Year1!E14</f>
        <v>0</v>
      </c>
      <c r="F14" s="424">
        <f>Year4!F14*1.04</f>
        <v>0</v>
      </c>
      <c r="G14" s="215">
        <f>Year1!G14</f>
        <v>1</v>
      </c>
      <c r="H14" s="11">
        <f>IF(AND($D$14="Yes",$F$14&gt;=Reference!$L$2),(Reference!$L$2*$E$14*$G$14),$F$14*$E$14*$G$14)</f>
        <v>0</v>
      </c>
    </row>
    <row r="15" spans="1:8" x14ac:dyDescent="0.2">
      <c r="A15" s="5"/>
      <c r="B15" s="225" t="str">
        <f>Year1!B15</f>
        <v>Academic</v>
      </c>
      <c r="C15" s="462" t="str">
        <f>Year1!C15</f>
        <v>Blank</v>
      </c>
      <c r="D15" s="463" t="str">
        <f>Year1!D15</f>
        <v>No</v>
      </c>
      <c r="E15" s="213">
        <f>Year1!E15</f>
        <v>0</v>
      </c>
      <c r="F15" s="424">
        <f>Year4!F15*1.04</f>
        <v>0</v>
      </c>
      <c r="G15" s="215">
        <f>Year1!G15</f>
        <v>1</v>
      </c>
      <c r="H15" s="11">
        <f>IF(AND($D$15="Yes",$F$15&gt;=Reference!$L$2),(Reference!$L$2*$E$15*$G$15),$F$15*$E$15*$G$15)</f>
        <v>0</v>
      </c>
    </row>
    <row r="16" spans="1:8" x14ac:dyDescent="0.2">
      <c r="A16" s="5"/>
      <c r="B16" s="225" t="str">
        <f>Year1!B16</f>
        <v>Academic</v>
      </c>
      <c r="C16" s="462" t="str">
        <f>Year1!C16</f>
        <v>Blank</v>
      </c>
      <c r="D16" s="463" t="str">
        <f>Year1!D16</f>
        <v>No</v>
      </c>
      <c r="E16" s="213">
        <f>Year1!E16</f>
        <v>0</v>
      </c>
      <c r="F16" s="424">
        <f>Year4!F16*1.04</f>
        <v>0</v>
      </c>
      <c r="G16" s="215">
        <f>Year1!G16</f>
        <v>1</v>
      </c>
      <c r="H16" s="11">
        <f>IF(AND($D$16="Yes",$F$16&gt;=Reference!$L$2),(Reference!$L$2*$E$16*$G$16),$F$16*$E$16*$G$16)</f>
        <v>0</v>
      </c>
    </row>
    <row r="17" spans="1:8" x14ac:dyDescent="0.2">
      <c r="A17" s="5"/>
      <c r="B17" s="225" t="str">
        <f>Year1!B17</f>
        <v>Academic</v>
      </c>
      <c r="C17" s="462" t="str">
        <f>Year1!C17</f>
        <v>Blank</v>
      </c>
      <c r="D17" s="463" t="str">
        <f>Year1!D17</f>
        <v>No</v>
      </c>
      <c r="E17" s="213">
        <f>Year1!E17</f>
        <v>0</v>
      </c>
      <c r="F17" s="424">
        <f>Year4!F17*1.04</f>
        <v>0</v>
      </c>
      <c r="G17" s="215">
        <f>Year1!G17</f>
        <v>1</v>
      </c>
      <c r="H17" s="11">
        <f>IF(AND($D$17="Yes",$F$17&gt;=Reference!$L$2),(Reference!$L$2*$E$17*$G$17),$F$17*$E$17*$G$17)</f>
        <v>0</v>
      </c>
    </row>
    <row r="18" spans="1:8" x14ac:dyDescent="0.2">
      <c r="A18" s="5"/>
      <c r="B18" s="225" t="str">
        <f>Year1!B18</f>
        <v>Academic</v>
      </c>
      <c r="C18" s="462" t="str">
        <f>Year1!C18</f>
        <v>Blank</v>
      </c>
      <c r="D18" s="463" t="str">
        <f>Year1!D18</f>
        <v>No</v>
      </c>
      <c r="E18" s="213">
        <f>Year1!E18</f>
        <v>0</v>
      </c>
      <c r="F18" s="424">
        <f>Year4!F18*1.04</f>
        <v>0</v>
      </c>
      <c r="G18" s="215">
        <f>Year1!G18</f>
        <v>1</v>
      </c>
      <c r="H18" s="11">
        <f>IF(AND($D$18="Yes",$F$18&gt;=Reference!$L$2),(Reference!$L$2*$E$18*$G$18),$F$18*$E$18*$G$18)</f>
        <v>0</v>
      </c>
    </row>
    <row r="19" spans="1:8" x14ac:dyDescent="0.2">
      <c r="A19" s="5"/>
      <c r="B19" s="225" t="str">
        <f>Year1!B19</f>
        <v>Calendar</v>
      </c>
      <c r="C19" s="462" t="str">
        <f>Year1!C19</f>
        <v>Blank</v>
      </c>
      <c r="D19" s="463" t="str">
        <f>Year1!D19</f>
        <v>No</v>
      </c>
      <c r="E19" s="213">
        <f>Year1!E19</f>
        <v>0</v>
      </c>
      <c r="F19" s="424">
        <f>Year4!F19*1.04</f>
        <v>0</v>
      </c>
      <c r="G19" s="215">
        <f>Year1!G19</f>
        <v>1</v>
      </c>
      <c r="H19" s="11">
        <f>IF(AND($D$19="Yes",$F$19&gt;=Reference!$L$2),(Reference!$L$2*$E$19*$G$19),$F$19*$E$19*$G$19)</f>
        <v>0</v>
      </c>
    </row>
    <row r="20" spans="1:8" x14ac:dyDescent="0.2">
      <c r="A20" s="5"/>
      <c r="B20" s="225" t="str">
        <f>Year1!B20</f>
        <v>Calendar</v>
      </c>
      <c r="C20" s="462" t="str">
        <f>Year1!C20</f>
        <v>Blank</v>
      </c>
      <c r="D20" s="463" t="str">
        <f>Year1!D20</f>
        <v>No</v>
      </c>
      <c r="E20" s="213">
        <f>Year1!E20</f>
        <v>0</v>
      </c>
      <c r="F20" s="424">
        <f>Year4!F20*1.04</f>
        <v>0</v>
      </c>
      <c r="G20" s="215">
        <f>Year1!G20</f>
        <v>1</v>
      </c>
      <c r="H20" s="11">
        <f>IF(AND($D$20="Yes",$F$20&gt;=Reference!$L$2),(Reference!$L$2*$E$20*$G$20),$F$20*$E$20*$G$20)</f>
        <v>0</v>
      </c>
    </row>
    <row r="21" spans="1:8" x14ac:dyDescent="0.2">
      <c r="A21" s="5"/>
      <c r="B21" s="225" t="str">
        <f>Year1!B21</f>
        <v>Recall</v>
      </c>
      <c r="C21" s="462" t="str">
        <f>Year1!C21</f>
        <v>Blank</v>
      </c>
      <c r="D21" s="463" t="str">
        <f>Year1!D21</f>
        <v>No</v>
      </c>
      <c r="E21" s="213">
        <f>Year1!E21</f>
        <v>0</v>
      </c>
      <c r="F21" s="424">
        <f>Year4!F21*1.04</f>
        <v>0</v>
      </c>
      <c r="G21" s="215">
        <f>Year1!G21</f>
        <v>1</v>
      </c>
      <c r="H21" s="11">
        <f>IF(AND($D$21="Yes",$F$21&gt;=Reference!$L$2),(Reference!$L$2*$E$21*$G$21),$F$21*$E$21*$G$21)</f>
        <v>0</v>
      </c>
    </row>
    <row r="22" spans="1:8" x14ac:dyDescent="0.2">
      <c r="A22" s="5"/>
      <c r="B22" s="225" t="str">
        <f>Year1!B22</f>
        <v>Recall</v>
      </c>
      <c r="C22" s="462" t="str">
        <f>Year1!C22</f>
        <v>Blank</v>
      </c>
      <c r="D22" s="463" t="str">
        <f>Year1!D22</f>
        <v>No</v>
      </c>
      <c r="E22" s="213">
        <f>Year1!E22</f>
        <v>0</v>
      </c>
      <c r="F22" s="424">
        <f>Year4!F22*1.04</f>
        <v>0</v>
      </c>
      <c r="G22" s="215">
        <f>Year1!G22</f>
        <v>1</v>
      </c>
      <c r="H22" s="11">
        <f>IF(AND($D$22="Yes",$F$22&gt;=Reference!$L$2),(Reference!$L$2*$E$22*$G$22),$F$22*$E$22*$G$22)</f>
        <v>0</v>
      </c>
    </row>
    <row r="23" spans="1:8" x14ac:dyDescent="0.2">
      <c r="A23" s="5"/>
      <c r="C23" s="6"/>
      <c r="D23" s="6"/>
      <c r="E23" s="6"/>
      <c r="F23" s="6"/>
      <c r="G23" s="6" t="s">
        <v>9</v>
      </c>
      <c r="H23" s="21">
        <f>IF(Year1!H8=1,0,IF(Year1!H8=2,0,IF(Year1!H8=3,0,IF(Year1!H8=4,0,SUM(H12:H22)))))</f>
        <v>0</v>
      </c>
    </row>
    <row r="24" spans="1:8" x14ac:dyDescent="0.2">
      <c r="A24" s="4" t="s">
        <v>10</v>
      </c>
      <c r="H24" s="9"/>
    </row>
    <row r="25" spans="1:8" x14ac:dyDescent="0.2">
      <c r="A25" s="5"/>
      <c r="B25" s="13" t="s">
        <v>11</v>
      </c>
      <c r="C25" s="216">
        <f>Year1!C25</f>
        <v>0</v>
      </c>
      <c r="D25" s="216"/>
      <c r="E25" s="6"/>
      <c r="F25" s="6"/>
      <c r="G25" s="6"/>
      <c r="H25" s="11"/>
    </row>
    <row r="26" spans="1:8" x14ac:dyDescent="0.2">
      <c r="A26" s="5"/>
      <c r="B26" s="6"/>
      <c r="C26" s="451" t="str">
        <f>IF(Year4!C26="GSR Step I","GSR Step II",IF(Year4!C26="GSR Step II","GSR Step III",IF(Year4!C26="GSR Step III","GSR Step III",IF(Year4!C26="GSR Step IV","GSR Step IV",IF(Year4!C26="GSR Step V","GSR Step V",IF(Year4!C26="GSR Step VI","GSR Step VI",0))))))</f>
        <v>GSR Step III</v>
      </c>
      <c r="D26" s="453"/>
      <c r="E26" s="6"/>
      <c r="F26" s="6"/>
      <c r="G26" s="6"/>
      <c r="H26" s="11"/>
    </row>
    <row r="27" spans="1:8" x14ac:dyDescent="0.2">
      <c r="A27" s="5"/>
      <c r="B27" s="85" t="str">
        <f>IF(OR(Year5!C27="August",Year5!C27="June",Year5!C27="July - August",Year5!C27="June - August",Year5!C27="June - July"),"Summer","Academic")</f>
        <v>Summer</v>
      </c>
      <c r="C27" s="229" t="str">
        <f>Year1!C27</f>
        <v>July - August</v>
      </c>
      <c r="D27" s="229" t="str">
        <f t="array" ref="D27">INDEX(Academic_Year,MATCH($B$8&amp;$C$27,DATE_COLUMN&amp;Calendar_Months,0))</f>
        <v>2029-2030</v>
      </c>
      <c r="E27" s="60">
        <f>INDEX(Number_Months,MATCH(C27,Time_Periods,0))</f>
        <v>2</v>
      </c>
      <c r="F27" s="424">
        <f t="array" ref="F27">INDEX(Salary,MATCH(C26&amp;D27,Range1&amp;Range2,0))</f>
        <v>9121</v>
      </c>
      <c r="G27" s="208">
        <f>Year1!G27</f>
        <v>0.5</v>
      </c>
      <c r="H27" s="11">
        <f>C25*E27*F27*G27</f>
        <v>0</v>
      </c>
    </row>
    <row r="28" spans="1:8" x14ac:dyDescent="0.2">
      <c r="A28" s="5"/>
      <c r="B28" s="85" t="str">
        <f>IF(OR(Year5!C28="August",Year5!C28="June",Year5!C28="July - August",Year5!C28="June - August",Year5!C28="June - July"),"Summer","Academic")</f>
        <v>Academic</v>
      </c>
      <c r="C28" s="229" t="str">
        <f>Year1!C28</f>
        <v>September</v>
      </c>
      <c r="D28" s="229" t="str">
        <f t="array" ref="D28">INDEX(Academic_Year,MATCH($B$8&amp;$C$28,DATE_COLUMN&amp;Calendar_Months,0))</f>
        <v>2029-2030</v>
      </c>
      <c r="E28" s="60">
        <f>INDEX(Number_Months,MATCH(C28,Time_Periods,0))</f>
        <v>1</v>
      </c>
      <c r="F28" s="424">
        <f t="array" ref="F28">INDEX(Salary,MATCH(C26&amp;D28,Range1&amp;Range2,0))</f>
        <v>9121</v>
      </c>
      <c r="G28" s="208">
        <f>Year1!G28</f>
        <v>0.5</v>
      </c>
      <c r="H28" s="11">
        <f>C25*E28*F28*G28</f>
        <v>0</v>
      </c>
    </row>
    <row r="29" spans="1:8" x14ac:dyDescent="0.2">
      <c r="A29" s="5"/>
      <c r="B29" s="85" t="str">
        <f>IF(OR(Year5!C29="August",Year5!C29="June",Year5!C29="July - August",Year5!C29="June - August",Year5!C29="June - July"),"Summer","Academic")</f>
        <v>Academic</v>
      </c>
      <c r="C29" s="229" t="str">
        <f>Year1!C29</f>
        <v>October - December</v>
      </c>
      <c r="D29" s="229" t="str">
        <f t="array" ref="D29">INDEX(Academic_Year,MATCH($B$8&amp;$C$29,DATE_COLUMN&amp;Calendar_Months,0))</f>
        <v>2030-2031</v>
      </c>
      <c r="E29" s="60">
        <f>INDEX(Number_Months,MATCH(C29,Time_Periods,0))</f>
        <v>3</v>
      </c>
      <c r="F29" s="424">
        <f t="array" ref="F29">INDEX(Salary,MATCH(C26&amp;D29,Range1&amp;Range2,0))</f>
        <v>9705</v>
      </c>
      <c r="G29" s="208">
        <f>Year1!G29</f>
        <v>0.5</v>
      </c>
      <c r="H29" s="11">
        <f>C25*E29*F29*G29</f>
        <v>0</v>
      </c>
    </row>
    <row r="30" spans="1:8" x14ac:dyDescent="0.2">
      <c r="A30" s="5"/>
      <c r="B30" s="85" t="str">
        <f>IF(OR(Year5!C30="August",Year5!C30="June",Year5!C30="July - August",Year5!C30="June - August",Year5!C30="June - July"),"Summer","Academic")</f>
        <v>Academic</v>
      </c>
      <c r="C30" s="229" t="str">
        <f>Year1!C30</f>
        <v>January - May</v>
      </c>
      <c r="D30" s="229" t="str">
        <f t="array" ref="D30">INDEX(Academic_Year,MATCH($B$8&amp;$C$30,DATE_COLUMN&amp;Calendar_Months,0))</f>
        <v>2030-2031</v>
      </c>
      <c r="E30" s="60">
        <f>INDEX(Number_Months,MATCH(C30,Time_Periods,0))</f>
        <v>5</v>
      </c>
      <c r="F30" s="424">
        <f t="array" ref="F30">INDEX(Salary,MATCH(C26&amp;D30,Range1&amp;Range2,0))</f>
        <v>9705</v>
      </c>
      <c r="G30" s="208">
        <f>Year1!G30</f>
        <v>0.5</v>
      </c>
      <c r="H30" s="11">
        <f>C25*E30*F30*G30</f>
        <v>0</v>
      </c>
    </row>
    <row r="31" spans="1:8" x14ac:dyDescent="0.2">
      <c r="A31" s="5"/>
      <c r="B31" s="85" t="str">
        <f>IF(OR(Year5!C31="August",Year5!C31="June",Year5!C31="July - August",Year5!C31="June - August",Year5!C31="June - July"),"Summer","Academic")</f>
        <v>Summer</v>
      </c>
      <c r="C31" s="229" t="str">
        <f>Year1!C31</f>
        <v>June</v>
      </c>
      <c r="D31" s="229" t="str">
        <f t="array" ref="D31">INDEX(Academic_Year,MATCH($B$8&amp;$C$31,DATE_COLUMN&amp;Calendar_Months,0))</f>
        <v>2030-2031</v>
      </c>
      <c r="E31" s="60">
        <f>INDEX(Number_Months,MATCH(C31,Time_Periods,0))</f>
        <v>1</v>
      </c>
      <c r="F31" s="424">
        <f t="array" ref="F31">INDEX(Salary,MATCH(C26&amp;D31,Range1&amp;Range2,0))</f>
        <v>9705</v>
      </c>
      <c r="G31" s="208">
        <f>Year1!G31</f>
        <v>0.5</v>
      </c>
      <c r="H31" s="11">
        <f>C25*E31*F31*G31</f>
        <v>0</v>
      </c>
    </row>
    <row r="32" spans="1:8" x14ac:dyDescent="0.2">
      <c r="A32" s="5"/>
      <c r="B32" s="6"/>
      <c r="C32" s="6"/>
      <c r="D32" s="6"/>
      <c r="E32" s="60">
        <f>SUM(E27:E31)</f>
        <v>12</v>
      </c>
      <c r="F32" s="22"/>
      <c r="G32" s="59" t="s">
        <v>9</v>
      </c>
      <c r="H32" s="58">
        <f>SUM(H27:H31)</f>
        <v>0</v>
      </c>
    </row>
    <row r="33" spans="1:8" x14ac:dyDescent="0.2">
      <c r="A33" s="5"/>
      <c r="B33" s="13" t="s">
        <v>11</v>
      </c>
      <c r="C33" s="216">
        <f>Year1!C33</f>
        <v>0</v>
      </c>
      <c r="D33" s="216"/>
      <c r="E33" s="6"/>
      <c r="F33" s="6"/>
      <c r="G33" s="6"/>
      <c r="H33" s="11"/>
    </row>
    <row r="34" spans="1:8" x14ac:dyDescent="0.2">
      <c r="A34" s="5"/>
      <c r="B34" s="6"/>
      <c r="C34" s="451" t="str">
        <f>IF(Year4!C34="GSR Step I","GSR Step II",IF(Year4!C34="GSR Step II","GSR Step III",IF(Year4!C34="GSR Step III","GSR Step III",IF(Year4!C34="GSR Step IV","GSR Step IV",IF(Year4!C34="GSR Step V","GSR Step V",IF(Year4!C34="GSR Step VI","GSR Step VI",0))))))</f>
        <v>GSR Step VI</v>
      </c>
      <c r="D34" s="453"/>
      <c r="E34" s="6"/>
      <c r="F34" s="6"/>
      <c r="G34" s="6"/>
      <c r="H34" s="11"/>
    </row>
    <row r="35" spans="1:8" x14ac:dyDescent="0.2">
      <c r="A35" s="5"/>
      <c r="B35" s="85" t="str">
        <f>IF(OR(Year5!C35="August",Year5!C35="June",Year5!C35="July - August",Year5!C35="June - August",Year5!C35="June - July"),"Summer","Academic")</f>
        <v>Summer</v>
      </c>
      <c r="C35" s="229" t="str">
        <f>Year1!C35</f>
        <v>July - August</v>
      </c>
      <c r="D35" s="229" t="str">
        <f t="array" ref="D35">INDEX(Academic_Year,MATCH($B$8&amp;$C$35,DATE_COLUMN&amp;Calendar_Months,0))</f>
        <v>2029-2030</v>
      </c>
      <c r="E35" s="60">
        <f>INDEX(Number_Months,MATCH(C35,Time_Periods,0))</f>
        <v>2</v>
      </c>
      <c r="F35" s="424">
        <f t="array" ref="F35">INDEX(Salary,MATCH(C34&amp;D35,Range1&amp;Range2,0))</f>
        <v>11410</v>
      </c>
      <c r="G35" s="208">
        <f>Year1!G35</f>
        <v>0.5</v>
      </c>
      <c r="H35" s="11">
        <f>C33*E35*F35*G35</f>
        <v>0</v>
      </c>
    </row>
    <row r="36" spans="1:8" x14ac:dyDescent="0.2">
      <c r="A36" s="5"/>
      <c r="B36" s="85" t="str">
        <f>IF(OR(Year5!C36="August",Year5!C36="June",Year5!C36="July - August",Year5!C36="June - August",Year5!C36="June - July"),"Summer","Academic")</f>
        <v>Academic</v>
      </c>
      <c r="C36" s="229" t="str">
        <f>Year1!C36</f>
        <v>September</v>
      </c>
      <c r="D36" s="229" t="str">
        <f t="array" ref="D36">INDEX(Academic_Year,MATCH($B$8&amp;$C$36,DATE_COLUMN&amp;Calendar_Months,0))</f>
        <v>2029-2030</v>
      </c>
      <c r="E36" s="60">
        <f>INDEX(Number_Months,MATCH(C36,Time_Periods,0))</f>
        <v>1</v>
      </c>
      <c r="F36" s="424">
        <f t="array" ref="F36">INDEX(Salary,MATCH(C34&amp;D36,Range1&amp;Range2,0))</f>
        <v>11410</v>
      </c>
      <c r="G36" s="208">
        <f>Year1!G36</f>
        <v>0.5</v>
      </c>
      <c r="H36" s="11">
        <f>C33*E36*F36*G36</f>
        <v>0</v>
      </c>
    </row>
    <row r="37" spans="1:8" x14ac:dyDescent="0.2">
      <c r="A37" s="5"/>
      <c r="B37" s="85" t="str">
        <f>IF(OR(Year5!C37="August",Year5!C37="June",Year5!C37="July - August",Year5!C37="June - August",Year5!C37="June - July"),"Summer","Academic")</f>
        <v>Academic</v>
      </c>
      <c r="C37" s="229" t="str">
        <f>Year1!C37</f>
        <v>October - December</v>
      </c>
      <c r="D37" s="229" t="str">
        <f t="array" ref="D37">INDEX(Academic_Year,MATCH($B$8&amp;$C$37,DATE_COLUMN&amp;Calendar_Months,0))</f>
        <v>2030-2031</v>
      </c>
      <c r="E37" s="60">
        <f>INDEX(Number_Months,MATCH(C37,Time_Periods,0))</f>
        <v>3</v>
      </c>
      <c r="F37" s="424">
        <f t="array" ref="F37">INDEX(Salary,MATCH(C34&amp;D37,Range1&amp;Range2,0))</f>
        <v>12140</v>
      </c>
      <c r="G37" s="208">
        <f>Year1!G37</f>
        <v>0.5</v>
      </c>
      <c r="H37" s="11">
        <f>C33*E37*F37*G37</f>
        <v>0</v>
      </c>
    </row>
    <row r="38" spans="1:8" x14ac:dyDescent="0.2">
      <c r="A38" s="5"/>
      <c r="B38" s="85" t="str">
        <f>IF(OR(Year5!C38="August",Year5!C38="June",Year5!C38="July - August",Year5!C38="June - August",Year5!C38="June - July"),"Summer","Academic")</f>
        <v>Academic</v>
      </c>
      <c r="C38" s="229" t="str">
        <f>Year1!C38</f>
        <v>January - May</v>
      </c>
      <c r="D38" s="229" t="str">
        <f t="array" ref="D38">INDEX(Academic_Year,MATCH($B$8&amp;$C$38,DATE_COLUMN&amp;Calendar_Months,0))</f>
        <v>2030-2031</v>
      </c>
      <c r="E38" s="60">
        <f>INDEX(Number_Months,MATCH(C38,Time_Periods,0))</f>
        <v>5</v>
      </c>
      <c r="F38" s="424">
        <f t="array" ref="F38">INDEX(Salary,MATCH(C34&amp;D38,Range1&amp;Range2,0))</f>
        <v>12140</v>
      </c>
      <c r="G38" s="208">
        <f>Year1!G38</f>
        <v>0.5</v>
      </c>
      <c r="H38" s="11">
        <f>C33*E38*F38*G38</f>
        <v>0</v>
      </c>
    </row>
    <row r="39" spans="1:8" x14ac:dyDescent="0.2">
      <c r="A39" s="5"/>
      <c r="B39" s="85" t="str">
        <f>IF(OR(Year5!C39="August",Year5!C39="June",Year5!C39="July - August",Year5!C39="June - August",Year5!C39="June - July"),"Summer","Academic")</f>
        <v>Summer</v>
      </c>
      <c r="C39" s="229" t="str">
        <f>Year1!C39</f>
        <v>June</v>
      </c>
      <c r="D39" s="229" t="str">
        <f t="array" ref="D39">INDEX(Academic_Year,MATCH($B$8&amp;$C$39,DATE_COLUMN&amp;Calendar_Months,0))</f>
        <v>2030-2031</v>
      </c>
      <c r="E39" s="60">
        <f>INDEX(Number_Months,MATCH(C39,Time_Periods,0))</f>
        <v>1</v>
      </c>
      <c r="F39" s="424">
        <f t="array" ref="F39">INDEX(Salary,MATCH(C34&amp;D39,Range1&amp;Range2,0))</f>
        <v>12140</v>
      </c>
      <c r="G39" s="208">
        <f>Year1!G39</f>
        <v>0.5</v>
      </c>
      <c r="H39" s="11">
        <f>C33*E39*F39*G39</f>
        <v>0</v>
      </c>
    </row>
    <row r="40" spans="1:8" x14ac:dyDescent="0.2">
      <c r="A40" s="5"/>
      <c r="B40" s="6"/>
      <c r="C40" s="6"/>
      <c r="D40" s="6"/>
      <c r="E40" s="60">
        <f>SUM(E35:E39)</f>
        <v>12</v>
      </c>
      <c r="F40" s="22"/>
      <c r="G40" s="22" t="s">
        <v>9</v>
      </c>
      <c r="H40" s="58">
        <f>SUM(H35:H39)</f>
        <v>0</v>
      </c>
    </row>
    <row r="41" spans="1:8" x14ac:dyDescent="0.2">
      <c r="A41" s="5"/>
      <c r="B41" s="13" t="s">
        <v>11</v>
      </c>
      <c r="C41" s="216">
        <f>Year1!C41</f>
        <v>0</v>
      </c>
      <c r="D41" s="216"/>
      <c r="E41" s="6"/>
      <c r="F41" s="6"/>
      <c r="G41" s="6"/>
      <c r="H41" s="11"/>
    </row>
    <row r="42" spans="1:8" x14ac:dyDescent="0.2">
      <c r="A42" s="5"/>
      <c r="B42" s="6"/>
      <c r="C42" s="451" t="str">
        <f>IF(Year4!C42="GSR Step I","GSR Step II",IF(Year4!C42="GSR Step II","GSR Step III",IF(Year4!C42="GSR Step III","GSR Step III",IF(Year4!C42="GSR Step IV","GSR Step IV",IF(Year4!C42="GSR Step V","GSR Step V",IF(Year4!C42="GSR Step VI","GSR Step VI",0))))))</f>
        <v>GSR Step III</v>
      </c>
      <c r="D42" s="453"/>
      <c r="E42" s="6"/>
      <c r="F42" s="6"/>
      <c r="G42" s="6"/>
      <c r="H42" s="11"/>
    </row>
    <row r="43" spans="1:8" x14ac:dyDescent="0.2">
      <c r="A43" s="5"/>
      <c r="B43" s="85" t="str">
        <f>IF(OR(Year5!C43="August",Year5!C43="June",Year5!C43="July - August",Year5!C43="June - August",Year5!C43="June - July"),"Summer","Academic")</f>
        <v>Summer</v>
      </c>
      <c r="C43" s="229" t="str">
        <f>Year1!C43</f>
        <v>July - August</v>
      </c>
      <c r="D43" s="229" t="str">
        <f t="array" ref="D43">INDEX(Academic_Year,MATCH($B$8&amp;$C$35,DATE_COLUMN&amp;Calendar_Months,0))</f>
        <v>2029-2030</v>
      </c>
      <c r="E43" s="60">
        <f>INDEX(Number_Months,MATCH(C43,Time_Periods,0))</f>
        <v>2</v>
      </c>
      <c r="F43" s="424">
        <f t="array" ref="F43">INDEX(Salary,MATCH(C42&amp;D43,Range1&amp;Range2,0))</f>
        <v>9121</v>
      </c>
      <c r="G43" s="208">
        <f>Year1!G43</f>
        <v>0.5</v>
      </c>
      <c r="H43" s="11">
        <f>C41*E43*F43*G43</f>
        <v>0</v>
      </c>
    </row>
    <row r="44" spans="1:8" x14ac:dyDescent="0.2">
      <c r="A44" s="5"/>
      <c r="B44" s="85" t="str">
        <f>IF(OR(Year5!C44="August",Year5!C44="June",Year5!C44="July - August",Year5!C44="June - August",Year5!C44="June - July"),"Summer","Academic")</f>
        <v>Academic</v>
      </c>
      <c r="C44" s="229" t="str">
        <f>Year1!C44</f>
        <v>September</v>
      </c>
      <c r="D44" s="229" t="str">
        <f t="array" ref="D44">INDEX(Academic_Year,MATCH($B$8&amp;$C$36,DATE_COLUMN&amp;Calendar_Months,0))</f>
        <v>2029-2030</v>
      </c>
      <c r="E44" s="60">
        <f>INDEX(Number_Months,MATCH(C44,Time_Periods,0))</f>
        <v>1</v>
      </c>
      <c r="F44" s="424">
        <f t="array" ref="F44">INDEX(Salary,MATCH(C42&amp;D44,Range1&amp;Range2,0))</f>
        <v>9121</v>
      </c>
      <c r="G44" s="208">
        <f>Year1!G44</f>
        <v>0.5</v>
      </c>
      <c r="H44" s="11">
        <f>C41*E44*F44*G44</f>
        <v>0</v>
      </c>
    </row>
    <row r="45" spans="1:8" x14ac:dyDescent="0.2">
      <c r="A45" s="5"/>
      <c r="B45" s="85" t="str">
        <f>IF(OR(Year5!C45="August",Year5!C45="June",Year5!C45="July - August",Year5!C45="June - August",Year5!C45="June - July"),"Summer","Academic")</f>
        <v>Academic</v>
      </c>
      <c r="C45" s="229" t="str">
        <f>Year1!C45</f>
        <v>October - December</v>
      </c>
      <c r="D45" s="229" t="str">
        <f t="array" ref="D45">INDEX(Academic_Year,MATCH($B$8&amp;$C$37,DATE_COLUMN&amp;Calendar_Months,0))</f>
        <v>2030-2031</v>
      </c>
      <c r="E45" s="60">
        <f>INDEX(Number_Months,MATCH(C45,Time_Periods,0))</f>
        <v>3</v>
      </c>
      <c r="F45" s="424">
        <f t="array" ref="F45">INDEX(Salary,MATCH(C42&amp;D45,Range1&amp;Range2,0))</f>
        <v>9705</v>
      </c>
      <c r="G45" s="208">
        <f>Year1!G45</f>
        <v>0.5</v>
      </c>
      <c r="H45" s="11">
        <f>C41*E45*F45*G45</f>
        <v>0</v>
      </c>
    </row>
    <row r="46" spans="1:8" x14ac:dyDescent="0.2">
      <c r="A46" s="5"/>
      <c r="B46" s="85" t="str">
        <f>IF(OR(Year5!C46="August",Year5!C46="June",Year5!C46="July - August",Year5!C46="June - August",Year5!C46="June - July"),"Summer","Academic")</f>
        <v>Academic</v>
      </c>
      <c r="C46" s="229" t="str">
        <f>Year1!C46</f>
        <v>January - May</v>
      </c>
      <c r="D46" s="229" t="str">
        <f t="array" ref="D46">INDEX(Academic_Year,MATCH($B$8&amp;$C$38,DATE_COLUMN&amp;Calendar_Months,0))</f>
        <v>2030-2031</v>
      </c>
      <c r="E46" s="60">
        <f>INDEX(Number_Months,MATCH(C46,Time_Periods,0))</f>
        <v>5</v>
      </c>
      <c r="F46" s="424">
        <f t="array" ref="F46">INDEX(Salary,MATCH(C42&amp;D46,Range1&amp;Range2,0))</f>
        <v>9705</v>
      </c>
      <c r="G46" s="208">
        <f>Year1!G46</f>
        <v>0.5</v>
      </c>
      <c r="H46" s="11">
        <f>C41*E46*F46*G46</f>
        <v>0</v>
      </c>
    </row>
    <row r="47" spans="1:8" x14ac:dyDescent="0.2">
      <c r="A47" s="5"/>
      <c r="B47" s="85" t="str">
        <f>IF(OR(Year5!C47="August",Year5!C47="June",Year5!C47="July - August",Year5!C47="June - August",Year5!C47="June - July"),"Summer","Academic")</f>
        <v>Summer</v>
      </c>
      <c r="C47" s="229" t="str">
        <f>Year1!C47</f>
        <v>June</v>
      </c>
      <c r="D47" s="229" t="str">
        <f t="array" ref="D47">INDEX(Academic_Year,MATCH($B$8&amp;$C$39,DATE_COLUMN&amp;Calendar_Months,0))</f>
        <v>2030-2031</v>
      </c>
      <c r="E47" s="60">
        <f>INDEX(Number_Months,MATCH(C47,Time_Periods,0))</f>
        <v>1</v>
      </c>
      <c r="F47" s="424">
        <f t="array" ref="F47">INDEX(Salary,MATCH(C42&amp;D47,Range1&amp;Range2,0))</f>
        <v>9705</v>
      </c>
      <c r="G47" s="208">
        <f>Year1!G47</f>
        <v>0.5</v>
      </c>
      <c r="H47" s="11">
        <f>C41*E47*F47*G47</f>
        <v>0</v>
      </c>
    </row>
    <row r="48" spans="1:8" x14ac:dyDescent="0.2">
      <c r="A48" s="5"/>
      <c r="B48" s="6"/>
      <c r="C48" s="6"/>
      <c r="D48" s="6"/>
      <c r="E48" s="60">
        <f>SUM(E43:E47)</f>
        <v>12</v>
      </c>
      <c r="F48" s="22"/>
      <c r="G48" s="22" t="s">
        <v>9</v>
      </c>
      <c r="H48" s="58">
        <f>SUM(H43:H47)</f>
        <v>0</v>
      </c>
    </row>
    <row r="49" spans="1:8" x14ac:dyDescent="0.2">
      <c r="A49" s="5"/>
      <c r="B49" s="13" t="s">
        <v>11</v>
      </c>
      <c r="C49" s="216">
        <f>Year1!C49</f>
        <v>0</v>
      </c>
      <c r="D49" s="216"/>
      <c r="E49" s="6"/>
      <c r="F49" s="6"/>
      <c r="G49" s="6"/>
      <c r="H49" s="11"/>
    </row>
    <row r="50" spans="1:8" x14ac:dyDescent="0.2">
      <c r="A50" s="5"/>
      <c r="B50" s="6"/>
      <c r="C50" s="451" t="str">
        <f>IF(Year4!C50="GSR Step I","GSR Step II",IF(Year4!C50="GSR Step II","GSR Step III",IF(Year4!C50="GSR Step III","GSR Step III",IF(Year4!C50="GSR Step IV","GSR Step IV",IF(Year4!C50="GSR Step V","GSR Step V",IF(Year4!C50="GSR Step VI","GSR Step VI",0))))))</f>
        <v>GSR Step III</v>
      </c>
      <c r="D50" s="453"/>
      <c r="E50" s="6"/>
      <c r="F50" s="6"/>
      <c r="G50" s="6"/>
      <c r="H50" s="11"/>
    </row>
    <row r="51" spans="1:8" x14ac:dyDescent="0.2">
      <c r="A51" s="5"/>
      <c r="B51" s="85" t="str">
        <f>IF(OR(Year5!C51="August",Year5!C51="June",Year5!C51="July - August",Year5!C51="June - August",Year5!C51="June - July"),"Summer","Academic")</f>
        <v>Summer</v>
      </c>
      <c r="C51" s="229" t="str">
        <f>Year1!C51</f>
        <v>July - August</v>
      </c>
      <c r="D51" s="229" t="str">
        <f t="array" ref="D51">INDEX(Academic_Year,MATCH($B$8&amp;$C$35,DATE_COLUMN&amp;Calendar_Months,0))</f>
        <v>2029-2030</v>
      </c>
      <c r="E51" s="60">
        <f>INDEX(Number_Months,MATCH(C51,Time_Periods,0))</f>
        <v>2</v>
      </c>
      <c r="F51" s="424">
        <f t="array" ref="F51">INDEX(Salary,MATCH(C50&amp;D51,Range1&amp;Range2,0))</f>
        <v>9121</v>
      </c>
      <c r="G51" s="208">
        <f>Year1!G51</f>
        <v>0.5</v>
      </c>
      <c r="H51" s="11">
        <f>C49*E51*F51*G51</f>
        <v>0</v>
      </c>
    </row>
    <row r="52" spans="1:8" x14ac:dyDescent="0.2">
      <c r="A52" s="5"/>
      <c r="B52" s="85" t="str">
        <f>IF(OR(Year5!C52="August",Year5!C52="June",Year5!C52="July - August",Year5!C52="June - August",Year5!C52="June - July"),"Summer","Academic")</f>
        <v>Academic</v>
      </c>
      <c r="C52" s="229" t="str">
        <f>Year1!C52</f>
        <v>September</v>
      </c>
      <c r="D52" s="229" t="str">
        <f t="array" ref="D52">INDEX(Academic_Year,MATCH($B$8&amp;$C$36,DATE_COLUMN&amp;Calendar_Months,0))</f>
        <v>2029-2030</v>
      </c>
      <c r="E52" s="60">
        <f>INDEX(Number_Months,MATCH(C52,Time_Periods,0))</f>
        <v>1</v>
      </c>
      <c r="F52" s="424">
        <f t="array" ref="F52">INDEX(Salary,MATCH(C50&amp;D52,Range1&amp;Range2,0))</f>
        <v>9121</v>
      </c>
      <c r="G52" s="208">
        <f>Year1!G52</f>
        <v>0.5</v>
      </c>
      <c r="H52" s="11">
        <f>C49*E52*F52*G52</f>
        <v>0</v>
      </c>
    </row>
    <row r="53" spans="1:8" x14ac:dyDescent="0.2">
      <c r="A53" s="5"/>
      <c r="B53" s="85" t="str">
        <f>IF(OR(Year5!C53="August",Year5!C53="June",Year5!C53="July - August",Year5!C53="June - August",Year5!C53="June - July"),"Summer","Academic")</f>
        <v>Academic</v>
      </c>
      <c r="C53" s="229" t="str">
        <f>Year1!C53</f>
        <v>October - December</v>
      </c>
      <c r="D53" s="229" t="str">
        <f t="array" ref="D53">INDEX(Academic_Year,MATCH($B$8&amp;$C$37,DATE_COLUMN&amp;Calendar_Months,0))</f>
        <v>2030-2031</v>
      </c>
      <c r="E53" s="60">
        <f>INDEX(Number_Months,MATCH(C53,Time_Periods,0))</f>
        <v>3</v>
      </c>
      <c r="F53" s="424">
        <f t="array" ref="F53">INDEX(Salary,MATCH(C50&amp;D53,Range1&amp;Range2,0))</f>
        <v>9705</v>
      </c>
      <c r="G53" s="208">
        <f>Year1!G53</f>
        <v>0.5</v>
      </c>
      <c r="H53" s="11">
        <f>C49*E53*F53*G53</f>
        <v>0</v>
      </c>
    </row>
    <row r="54" spans="1:8" x14ac:dyDescent="0.2">
      <c r="A54" s="5"/>
      <c r="B54" s="85" t="str">
        <f>IF(OR(Year5!C54="August",Year5!C54="June",Year5!C54="July - August",Year5!C54="June - August",Year5!C54="June - July"),"Summer","Academic")</f>
        <v>Academic</v>
      </c>
      <c r="C54" s="229" t="str">
        <f>Year1!C54</f>
        <v>January - May</v>
      </c>
      <c r="D54" s="229" t="str">
        <f t="array" ref="D54">INDEX(Academic_Year,MATCH($B$8&amp;$C$38,DATE_COLUMN&amp;Calendar_Months,0))</f>
        <v>2030-2031</v>
      </c>
      <c r="E54" s="60">
        <f>INDEX(Number_Months,MATCH(C54,Time_Periods,0))</f>
        <v>5</v>
      </c>
      <c r="F54" s="424">
        <f t="array" ref="F54">INDEX(Salary,MATCH(C50&amp;D54,Range1&amp;Range2,0))</f>
        <v>9705</v>
      </c>
      <c r="G54" s="208">
        <f>Year1!G54</f>
        <v>0.5</v>
      </c>
      <c r="H54" s="11">
        <f>C49*E54*F54*G54</f>
        <v>0</v>
      </c>
    </row>
    <row r="55" spans="1:8" x14ac:dyDescent="0.2">
      <c r="A55" s="5"/>
      <c r="B55" s="85" t="str">
        <f>IF(OR(Year5!C55="August",Year5!C55="June",Year5!C55="July - August",Year5!C55="June - August",Year5!C55="June - July"),"Summer","Academic")</f>
        <v>Summer</v>
      </c>
      <c r="C55" s="229" t="str">
        <f>Year1!C55</f>
        <v>June</v>
      </c>
      <c r="D55" s="229" t="str">
        <f t="array" ref="D55">INDEX(Academic_Year,MATCH($B$8&amp;$C$39,DATE_COLUMN&amp;Calendar_Months,0))</f>
        <v>2030-2031</v>
      </c>
      <c r="E55" s="60">
        <f>INDEX(Number_Months,MATCH(C55,Time_Periods,0))</f>
        <v>1</v>
      </c>
      <c r="F55" s="424">
        <f t="array" ref="F55">INDEX(Salary,MATCH(C50&amp;D55,Range1&amp;Range2,0))</f>
        <v>9705</v>
      </c>
      <c r="G55" s="208">
        <f>Year1!G55</f>
        <v>0.5</v>
      </c>
      <c r="H55" s="11">
        <f>C49*E55*F55*G55</f>
        <v>0</v>
      </c>
    </row>
    <row r="56" spans="1:8" x14ac:dyDescent="0.2">
      <c r="A56" s="5"/>
      <c r="B56" s="6"/>
      <c r="C56" s="6"/>
      <c r="D56" s="6"/>
      <c r="E56" s="60">
        <f>SUM(E51:E55)</f>
        <v>12</v>
      </c>
      <c r="F56" s="22"/>
      <c r="G56" s="22" t="s">
        <v>9</v>
      </c>
      <c r="H56" s="58">
        <f>SUM(H51:H55)</f>
        <v>0</v>
      </c>
    </row>
    <row r="57" spans="1:8" x14ac:dyDescent="0.2">
      <c r="A57" s="5"/>
      <c r="B57" s="13" t="s">
        <v>11</v>
      </c>
      <c r="C57" s="216">
        <f>Year1!C57</f>
        <v>0</v>
      </c>
      <c r="D57" s="216"/>
      <c r="E57" s="6"/>
      <c r="F57" s="6"/>
      <c r="G57" s="6"/>
      <c r="H57" s="11"/>
    </row>
    <row r="58" spans="1:8" x14ac:dyDescent="0.2">
      <c r="A58" s="5"/>
      <c r="B58" s="6"/>
      <c r="C58" s="451" t="str">
        <f>IF(Year4!C58="GSR Step I","GSR Step II",IF(Year4!C58="GSR Step II","GSR Step III",IF(Year4!C58="GSR Step III","GSR Step III",IF(Year4!C58="GSR Step IV","GSR Step IV",IF(Year4!C58="GSR Step V","GSR Step V",IF(Year4!C58="GSR Step VI","GSR Step VI",0))))))</f>
        <v>GSR Step III</v>
      </c>
      <c r="D58" s="453"/>
      <c r="E58" s="6"/>
      <c r="F58" s="6"/>
      <c r="G58" s="6"/>
      <c r="H58" s="11"/>
    </row>
    <row r="59" spans="1:8" x14ac:dyDescent="0.2">
      <c r="A59" s="5"/>
      <c r="B59" s="85" t="str">
        <f>IF(OR(Year5!C59="August",Year5!C59="June",Year5!C59="July - August",Year5!C59="June - August",Year5!C59="June - July"),"Summer","Academic")</f>
        <v>Summer</v>
      </c>
      <c r="C59" s="229" t="str">
        <f>Year1!C59</f>
        <v>July - August</v>
      </c>
      <c r="D59" s="229" t="str">
        <f t="array" ref="D59">INDEX(Academic_Year,MATCH($B$8&amp;$C$35,DATE_COLUMN&amp;Calendar_Months,0))</f>
        <v>2029-2030</v>
      </c>
      <c r="E59" s="60">
        <f>INDEX(Number_Months,MATCH(C59,Time_Periods,0))</f>
        <v>2</v>
      </c>
      <c r="F59" s="424">
        <f t="array" ref="F59">INDEX(Salary,MATCH(C58&amp;D59,Range1&amp;Range2,0))</f>
        <v>9121</v>
      </c>
      <c r="G59" s="208">
        <f>Year1!G59</f>
        <v>0.5</v>
      </c>
      <c r="H59" s="11">
        <f>C57*E59*F59*G59</f>
        <v>0</v>
      </c>
    </row>
    <row r="60" spans="1:8" x14ac:dyDescent="0.2">
      <c r="A60" s="5"/>
      <c r="B60" s="85" t="str">
        <f>IF(OR(Year5!C60="August",Year5!C60="June",Year5!C60="July - August",Year5!C60="June - August",Year5!C60="June - July"),"Summer","Academic")</f>
        <v>Academic</v>
      </c>
      <c r="C60" s="229" t="str">
        <f>Year1!C60</f>
        <v>September</v>
      </c>
      <c r="D60" s="229" t="str">
        <f t="array" ref="D60">INDEX(Academic_Year,MATCH($B$8&amp;$C$36,DATE_COLUMN&amp;Calendar_Months,0))</f>
        <v>2029-2030</v>
      </c>
      <c r="E60" s="60">
        <f>INDEX(Number_Months,MATCH(C60,Time_Periods,0))</f>
        <v>1</v>
      </c>
      <c r="F60" s="424">
        <f t="array" ref="F60">INDEX(Salary,MATCH(C58&amp;D60,Range1&amp;Range2,0))</f>
        <v>9121</v>
      </c>
      <c r="G60" s="208">
        <f>Year1!G60</f>
        <v>0.5</v>
      </c>
      <c r="H60" s="11">
        <f>C57*E60*F60*G60</f>
        <v>0</v>
      </c>
    </row>
    <row r="61" spans="1:8" x14ac:dyDescent="0.2">
      <c r="A61" s="5"/>
      <c r="B61" s="85" t="str">
        <f>IF(OR(Year5!C61="August",Year5!C61="June",Year5!C61="July - August",Year5!C61="June - August",Year5!C61="June - July"),"Summer","Academic")</f>
        <v>Academic</v>
      </c>
      <c r="C61" s="229" t="str">
        <f>Year1!C61</f>
        <v>October - December</v>
      </c>
      <c r="D61" s="229" t="str">
        <f t="array" ref="D61">INDEX(Academic_Year,MATCH($B$8&amp;$C$37,DATE_COLUMN&amp;Calendar_Months,0))</f>
        <v>2030-2031</v>
      </c>
      <c r="E61" s="60">
        <f>INDEX(Number_Months,MATCH(C61,Time_Periods,0))</f>
        <v>3</v>
      </c>
      <c r="F61" s="424">
        <f t="array" ref="F61">INDEX(Salary,MATCH(C58&amp;D61,Range1&amp;Range2,0))</f>
        <v>9705</v>
      </c>
      <c r="G61" s="208">
        <f>Year1!G61</f>
        <v>0.5</v>
      </c>
      <c r="H61" s="11">
        <f>C57*E61*F61*G61</f>
        <v>0</v>
      </c>
    </row>
    <row r="62" spans="1:8" x14ac:dyDescent="0.2">
      <c r="A62" s="5"/>
      <c r="B62" s="85" t="str">
        <f>IF(OR(Year5!C62="August",Year5!C62="June",Year5!C62="July - August",Year5!C62="June - August",Year5!C62="June - July"),"Summer","Academic")</f>
        <v>Academic</v>
      </c>
      <c r="C62" s="229" t="str">
        <f>Year1!C62</f>
        <v>January - May</v>
      </c>
      <c r="D62" s="229" t="str">
        <f t="array" ref="D62">INDEX(Academic_Year,MATCH($B$8&amp;$C$38,DATE_COLUMN&amp;Calendar_Months,0))</f>
        <v>2030-2031</v>
      </c>
      <c r="E62" s="60">
        <f>INDEX(Number_Months,MATCH(C62,Time_Periods,0))</f>
        <v>5</v>
      </c>
      <c r="F62" s="424">
        <f t="array" ref="F62">INDEX(Salary,MATCH(C58&amp;D62,Range1&amp;Range2,0))</f>
        <v>9705</v>
      </c>
      <c r="G62" s="208">
        <f>Year1!G62</f>
        <v>0.5</v>
      </c>
      <c r="H62" s="11">
        <f>C57*E62*F62*G62</f>
        <v>0</v>
      </c>
    </row>
    <row r="63" spans="1:8" x14ac:dyDescent="0.2">
      <c r="A63" s="5"/>
      <c r="B63" s="85" t="str">
        <f>IF(OR(Year5!C63="August",Year5!C63="June",Year5!C63="July - August",Year5!C63="June - August",Year5!C63="June - July"),"Summer","Academic")</f>
        <v>Summer</v>
      </c>
      <c r="C63" s="229" t="str">
        <f>Year1!C63</f>
        <v>June</v>
      </c>
      <c r="D63" s="229" t="str">
        <f t="array" ref="D63">INDEX(Academic_Year,MATCH($B$8&amp;$C$39,DATE_COLUMN&amp;Calendar_Months,0))</f>
        <v>2030-2031</v>
      </c>
      <c r="E63" s="60">
        <f>INDEX(Number_Months,MATCH(C63,Time_Periods,0))</f>
        <v>1</v>
      </c>
      <c r="F63" s="424">
        <f t="array" ref="F63">INDEX(Salary,MATCH(C58&amp;D63,Range1&amp;Range2,0))</f>
        <v>9705</v>
      </c>
      <c r="G63" s="208">
        <f>Year1!G63</f>
        <v>0.5</v>
      </c>
      <c r="H63" s="11">
        <f>C57*E63*F63*G63</f>
        <v>0</v>
      </c>
    </row>
    <row r="64" spans="1:8" x14ac:dyDescent="0.2">
      <c r="A64" s="5"/>
      <c r="B64" s="6"/>
      <c r="C64" s="6"/>
      <c r="D64" s="6"/>
      <c r="E64" s="60">
        <f>SUM(E59:E63)</f>
        <v>12</v>
      </c>
      <c r="F64" s="22"/>
      <c r="G64" s="22" t="s">
        <v>9</v>
      </c>
      <c r="H64" s="58">
        <f>SUM(H59:H63)</f>
        <v>0</v>
      </c>
    </row>
    <row r="65" spans="1:8" x14ac:dyDescent="0.2">
      <c r="A65" s="5"/>
      <c r="B65" s="13" t="s">
        <v>11</v>
      </c>
      <c r="C65" s="216">
        <f>Year1!C65</f>
        <v>0</v>
      </c>
      <c r="D65" s="216"/>
      <c r="E65" s="6"/>
      <c r="F65" s="6"/>
      <c r="G65" s="6"/>
      <c r="H65" s="11"/>
    </row>
    <row r="66" spans="1:8" x14ac:dyDescent="0.2">
      <c r="A66" s="5"/>
      <c r="B66" s="6"/>
      <c r="C66" s="451" t="str">
        <f>IF(Year4!C66="GSR Step I","GSR Step II",IF(Year4!C66="GSR Step II","GSR Step III",IF(Year4!C66="GSR Step III","GSR Step III",IF(Year4!C66="GSR Step IV","GSR Step IV",IF(Year4!C66="GSR Step V","GSR Step V",IF(Year4!C66="GSR Step VI","GSR Step VI",0))))))</f>
        <v>GSR Step III</v>
      </c>
      <c r="D66" s="453"/>
      <c r="E66" s="6"/>
      <c r="F66" s="6"/>
      <c r="G66" s="6"/>
      <c r="H66" s="11"/>
    </row>
    <row r="67" spans="1:8" x14ac:dyDescent="0.2">
      <c r="A67" s="5"/>
      <c r="B67" s="85" t="str">
        <f>IF(OR(Year5!C67="August",Year5!C67="June",Year5!C67="July - August",Year5!C67="June - August",Year5!C67="June - July"),"Summer","Academic")</f>
        <v>Summer</v>
      </c>
      <c r="C67" s="229" t="str">
        <f>Year1!C67</f>
        <v>July - August</v>
      </c>
      <c r="D67" s="229" t="str">
        <f t="array" ref="D67">INDEX(Academic_Year,MATCH($B$8&amp;$C$35,DATE_COLUMN&amp;Calendar_Months,0))</f>
        <v>2029-2030</v>
      </c>
      <c r="E67" s="60">
        <f>INDEX(Number_Months,MATCH(C67,Time_Periods,0))</f>
        <v>2</v>
      </c>
      <c r="F67" s="424">
        <f t="array" ref="F67">INDEX(Salary,MATCH(C66&amp;D67,Range1&amp;Range2,0))</f>
        <v>9121</v>
      </c>
      <c r="G67" s="208">
        <f>Year1!G67</f>
        <v>0.5</v>
      </c>
      <c r="H67" s="11">
        <f>C65*E67*F67*G67</f>
        <v>0</v>
      </c>
    </row>
    <row r="68" spans="1:8" x14ac:dyDescent="0.2">
      <c r="A68" s="5"/>
      <c r="B68" s="85" t="str">
        <f>IF(OR(Year5!C68="August",Year5!C68="June",Year5!C68="July - August",Year5!C68="June - August",Year5!C68="June - July"),"Summer","Academic")</f>
        <v>Academic</v>
      </c>
      <c r="C68" s="229" t="str">
        <f>Year1!C68</f>
        <v>September</v>
      </c>
      <c r="D68" s="229" t="str">
        <f t="array" ref="D68">INDEX(Academic_Year,MATCH($B$8&amp;$C$36,DATE_COLUMN&amp;Calendar_Months,0))</f>
        <v>2029-2030</v>
      </c>
      <c r="E68" s="60">
        <f>INDEX(Number_Months,MATCH(C68,Time_Periods,0))</f>
        <v>1</v>
      </c>
      <c r="F68" s="424">
        <f t="array" ref="F68">INDEX(Salary,MATCH(C66&amp;D68,Range1&amp;Range2,0))</f>
        <v>9121</v>
      </c>
      <c r="G68" s="208">
        <f>Year1!G68</f>
        <v>0.5</v>
      </c>
      <c r="H68" s="11">
        <f>C65*E68*F68*G68</f>
        <v>0</v>
      </c>
    </row>
    <row r="69" spans="1:8" x14ac:dyDescent="0.2">
      <c r="A69" s="5"/>
      <c r="B69" s="85" t="str">
        <f>IF(OR(Year5!C69="August",Year5!C69="June",Year5!C69="July - August",Year5!C69="June - August",Year5!C69="June - July"),"Summer","Academic")</f>
        <v>Academic</v>
      </c>
      <c r="C69" s="229" t="str">
        <f>Year1!C69</f>
        <v>October - December</v>
      </c>
      <c r="D69" s="229" t="str">
        <f t="array" ref="D69">INDEX(Academic_Year,MATCH($B$8&amp;$C$37,DATE_COLUMN&amp;Calendar_Months,0))</f>
        <v>2030-2031</v>
      </c>
      <c r="E69" s="60">
        <f>INDEX(Number_Months,MATCH(C69,Time_Periods,0))</f>
        <v>3</v>
      </c>
      <c r="F69" s="424">
        <f t="array" ref="F69">INDEX(Salary,MATCH(C66&amp;D69,Range1&amp;Range2,0))</f>
        <v>9705</v>
      </c>
      <c r="G69" s="208">
        <f>Year1!G69</f>
        <v>0.5</v>
      </c>
      <c r="H69" s="11">
        <f>C65*E69*F69*G69</f>
        <v>0</v>
      </c>
    </row>
    <row r="70" spans="1:8" x14ac:dyDescent="0.2">
      <c r="A70" s="5"/>
      <c r="B70" s="85" t="str">
        <f>IF(OR(Year5!C70="August",Year5!C70="June",Year5!C70="July - August",Year5!C70="June - August",Year5!C70="June - July"),"Summer","Academic")</f>
        <v>Academic</v>
      </c>
      <c r="C70" s="229" t="str">
        <f>Year1!C70</f>
        <v>January - May</v>
      </c>
      <c r="D70" s="229" t="str">
        <f t="array" ref="D70">INDEX(Academic_Year,MATCH($B$8&amp;$C$38,DATE_COLUMN&amp;Calendar_Months,0))</f>
        <v>2030-2031</v>
      </c>
      <c r="E70" s="60">
        <f>INDEX(Number_Months,MATCH(C70,Time_Periods,0))</f>
        <v>5</v>
      </c>
      <c r="F70" s="424">
        <f t="array" ref="F70">INDEX(Salary,MATCH(C66&amp;D70,Range1&amp;Range2,0))</f>
        <v>9705</v>
      </c>
      <c r="G70" s="208">
        <f>Year1!G70</f>
        <v>0.5</v>
      </c>
      <c r="H70" s="11">
        <f>C65*E70*F70*G70</f>
        <v>0</v>
      </c>
    </row>
    <row r="71" spans="1:8" x14ac:dyDescent="0.2">
      <c r="A71" s="5"/>
      <c r="B71" s="85" t="str">
        <f>IF(OR(Year5!C71="August",Year5!C71="June",Year5!C71="July - August",Year5!C71="June - August",Year5!C71="June - July"),"Summer","Academic")</f>
        <v>Summer</v>
      </c>
      <c r="C71" s="229" t="str">
        <f>Year1!C71</f>
        <v>June</v>
      </c>
      <c r="D71" s="229" t="str">
        <f t="array" ref="D71">INDEX(Academic_Year,MATCH($B$8&amp;$C$39,DATE_COLUMN&amp;Calendar_Months,0))</f>
        <v>2030-2031</v>
      </c>
      <c r="E71" s="60">
        <f>INDEX(Number_Months,MATCH(C71,Time_Periods,0))</f>
        <v>1</v>
      </c>
      <c r="F71" s="424">
        <f t="array" ref="F71">INDEX(Salary,MATCH(C66&amp;D71,Range1&amp;Range2,0))</f>
        <v>9705</v>
      </c>
      <c r="G71" s="208">
        <f>Year1!G71</f>
        <v>0.5</v>
      </c>
      <c r="H71" s="11">
        <f>C65*E71*F71*G71</f>
        <v>0</v>
      </c>
    </row>
    <row r="72" spans="1:8" x14ac:dyDescent="0.2">
      <c r="A72" s="5"/>
      <c r="B72" s="6"/>
      <c r="C72" s="6"/>
      <c r="D72" s="6"/>
      <c r="E72" s="60">
        <f>SUM(E67:E71)</f>
        <v>12</v>
      </c>
      <c r="F72" s="22"/>
      <c r="G72" s="22" t="s">
        <v>9</v>
      </c>
      <c r="H72" s="58">
        <f>SUM(H67:H71)</f>
        <v>0</v>
      </c>
    </row>
    <row r="73" spans="1:8" x14ac:dyDescent="0.2">
      <c r="A73" s="5"/>
      <c r="B73" s="13" t="s">
        <v>11</v>
      </c>
      <c r="C73" s="216">
        <f>Year1!C73</f>
        <v>0</v>
      </c>
      <c r="D73" s="216"/>
      <c r="E73" s="6"/>
      <c r="F73" s="6"/>
      <c r="G73" s="6"/>
      <c r="H73" s="11"/>
    </row>
    <row r="74" spans="1:8" x14ac:dyDescent="0.2">
      <c r="A74" s="5"/>
      <c r="B74" s="6"/>
      <c r="C74" s="451" t="str">
        <f>IF(Year4!C74="GSR Step I","GSR Step II",IF(Year4!C74="GSR Step II","GSR Step III",IF(Year4!C74="GSR Step III","GSR Step III",IF(Year4!C74="GSR Step IV","GSR Step IV",IF(Year4!C74="GSR Step V","GSR Step V",IF(Year4!C74="GSR Step VI","GSR Step VI",0))))))</f>
        <v>GSR Step III</v>
      </c>
      <c r="D74" s="453"/>
      <c r="E74" s="6"/>
      <c r="F74" s="6"/>
      <c r="G74" s="6"/>
      <c r="H74" s="11"/>
    </row>
    <row r="75" spans="1:8" x14ac:dyDescent="0.2">
      <c r="A75" s="5"/>
      <c r="B75" s="85" t="str">
        <f>IF(OR(Year5!C75="August",Year5!C75="June",Year5!C75="July - August",Year5!C75="June - August",Year5!C75="June - July"),"Summer","Academic")</f>
        <v>Summer</v>
      </c>
      <c r="C75" s="229" t="str">
        <f>Year1!C75</f>
        <v>July - August</v>
      </c>
      <c r="D75" s="229" t="str">
        <f t="array" ref="D75">INDEX(Academic_Year,MATCH($B$8&amp;$C$35,DATE_COLUMN&amp;Calendar_Months,0))</f>
        <v>2029-2030</v>
      </c>
      <c r="E75" s="60">
        <f>INDEX(Number_Months,MATCH(C75,Time_Periods,0))</f>
        <v>2</v>
      </c>
      <c r="F75" s="424">
        <f t="array" ref="F75">INDEX(Salary,MATCH(C74&amp;D75,Range1&amp;Range2,0))</f>
        <v>9121</v>
      </c>
      <c r="G75" s="208">
        <f>Year1!G75</f>
        <v>0.5</v>
      </c>
      <c r="H75" s="11">
        <f>C73*E75*F75*G75</f>
        <v>0</v>
      </c>
    </row>
    <row r="76" spans="1:8" x14ac:dyDescent="0.2">
      <c r="A76" s="5"/>
      <c r="B76" s="85" t="str">
        <f>IF(OR(Year5!C76="August",Year5!C76="June",Year5!C76="July - August",Year5!C76="June - August",Year5!C76="June - July"),"Summer","Academic")</f>
        <v>Academic</v>
      </c>
      <c r="C76" s="229" t="str">
        <f>Year1!C76</f>
        <v>September</v>
      </c>
      <c r="D76" s="229" t="str">
        <f t="array" ref="D76">INDEX(Academic_Year,MATCH($B$8&amp;$C$36,DATE_COLUMN&amp;Calendar_Months,0))</f>
        <v>2029-2030</v>
      </c>
      <c r="E76" s="60">
        <f>INDEX(Number_Months,MATCH(C76,Time_Periods,0))</f>
        <v>1</v>
      </c>
      <c r="F76" s="424">
        <f t="array" ref="F76">INDEX(Salary,MATCH(C74&amp;D76,Range1&amp;Range2,0))</f>
        <v>9121</v>
      </c>
      <c r="G76" s="208">
        <f>Year1!G76</f>
        <v>0.5</v>
      </c>
      <c r="H76" s="11">
        <f>C73*E76*F76*G76</f>
        <v>0</v>
      </c>
    </row>
    <row r="77" spans="1:8" x14ac:dyDescent="0.2">
      <c r="A77" s="5"/>
      <c r="B77" s="85" t="str">
        <f>IF(OR(Year5!C77="August",Year5!C77="June",Year5!C77="July - August",Year5!C77="June - August",Year5!C77="June - July"),"Summer","Academic")</f>
        <v>Academic</v>
      </c>
      <c r="C77" s="229" t="str">
        <f>Year1!C77</f>
        <v>October - December</v>
      </c>
      <c r="D77" s="229" t="str">
        <f t="array" ref="D77">INDEX(Academic_Year,MATCH($B$8&amp;$C$37,DATE_COLUMN&amp;Calendar_Months,0))</f>
        <v>2030-2031</v>
      </c>
      <c r="E77" s="60">
        <f>INDEX(Number_Months,MATCH(C77,Time_Periods,0))</f>
        <v>3</v>
      </c>
      <c r="F77" s="424">
        <f t="array" ref="F77">INDEX(Salary,MATCH(C74&amp;D77,Range1&amp;Range2,0))</f>
        <v>9705</v>
      </c>
      <c r="G77" s="208">
        <f>Year1!G77</f>
        <v>0.5</v>
      </c>
      <c r="H77" s="11">
        <f>C73*E77*F77*G77</f>
        <v>0</v>
      </c>
    </row>
    <row r="78" spans="1:8" x14ac:dyDescent="0.2">
      <c r="A78" s="5"/>
      <c r="B78" s="85" t="str">
        <f>IF(OR(Year5!C78="August",Year5!C78="June",Year5!C78="July - August",Year5!C78="June - August",Year5!C78="June - July"),"Summer","Academic")</f>
        <v>Academic</v>
      </c>
      <c r="C78" s="229" t="str">
        <f>Year1!C78</f>
        <v>January - May</v>
      </c>
      <c r="D78" s="229" t="str">
        <f t="array" ref="D78">INDEX(Academic_Year,MATCH($B$8&amp;$C$38,DATE_COLUMN&amp;Calendar_Months,0))</f>
        <v>2030-2031</v>
      </c>
      <c r="E78" s="60">
        <f>INDEX(Number_Months,MATCH(C78,Time_Periods,0))</f>
        <v>5</v>
      </c>
      <c r="F78" s="424">
        <f t="array" ref="F78">INDEX(Salary,MATCH(C74&amp;D78,Range1&amp;Range2,0))</f>
        <v>9705</v>
      </c>
      <c r="G78" s="208">
        <f>Year1!G78</f>
        <v>0.5</v>
      </c>
      <c r="H78" s="11">
        <f>C73*E78*F78*G78</f>
        <v>0</v>
      </c>
    </row>
    <row r="79" spans="1:8" x14ac:dyDescent="0.2">
      <c r="A79" s="5"/>
      <c r="B79" s="85" t="str">
        <f>IF(OR(Year5!C79="August",Year5!C79="June",Year5!C79="July - August",Year5!C79="June - August",Year5!C79="June - July"),"Summer","Academic")</f>
        <v>Summer</v>
      </c>
      <c r="C79" s="229" t="str">
        <f>Year1!C79</f>
        <v>June</v>
      </c>
      <c r="D79" s="229" t="str">
        <f t="array" ref="D79">INDEX(Academic_Year,MATCH($B$8&amp;$C$39,DATE_COLUMN&amp;Calendar_Months,0))</f>
        <v>2030-2031</v>
      </c>
      <c r="E79" s="60">
        <f>INDEX(Number_Months,MATCH(C79,Time_Periods,0))</f>
        <v>1</v>
      </c>
      <c r="F79" s="424">
        <f t="array" ref="F79">INDEX(Salary,MATCH(C74&amp;D79,Range1&amp;Range2,0))</f>
        <v>9705</v>
      </c>
      <c r="G79" s="208">
        <f>Year1!G79</f>
        <v>0.5</v>
      </c>
      <c r="H79" s="11">
        <f>C73*E79*F79*G79</f>
        <v>0</v>
      </c>
    </row>
    <row r="80" spans="1:8" x14ac:dyDescent="0.2">
      <c r="A80" s="5"/>
      <c r="B80" s="6"/>
      <c r="C80" s="6"/>
      <c r="D80" s="6"/>
      <c r="E80" s="60">
        <f>SUM(E75:E79)</f>
        <v>12</v>
      </c>
      <c r="F80" s="22"/>
      <c r="G80" s="22" t="s">
        <v>9</v>
      </c>
      <c r="H80" s="58">
        <f>SUM(H75:H79)</f>
        <v>0</v>
      </c>
    </row>
    <row r="81" spans="1:8" x14ac:dyDescent="0.2">
      <c r="A81" s="4" t="s">
        <v>17</v>
      </c>
      <c r="E81" s="60"/>
      <c r="G81" s="19" t="s">
        <v>111</v>
      </c>
      <c r="H81" s="10">
        <f>IF(Year1!H8=1,0,IF(Year1!H8=2,0,IF(Year1!H8=3,0,IF(Year1!H8=4,0,H80+H72+H64+H56+H48+H40+H32))))</f>
        <v>0</v>
      </c>
    </row>
    <row r="82" spans="1:8" x14ac:dyDescent="0.2">
      <c r="A82" s="4"/>
      <c r="B82" s="13" t="s">
        <v>54</v>
      </c>
      <c r="C82" s="6" t="s">
        <v>197</v>
      </c>
      <c r="E82" s="60"/>
      <c r="F82" s="13"/>
      <c r="H82" s="10"/>
    </row>
    <row r="83" spans="1:8" x14ac:dyDescent="0.2">
      <c r="A83" s="5"/>
      <c r="B83" s="218">
        <f>Year1!B83</f>
        <v>0</v>
      </c>
      <c r="C83" s="242" t="str">
        <f>Year1!C83</f>
        <v>Specialist, IX</v>
      </c>
      <c r="D83" s="224"/>
      <c r="E83" s="224" t="s">
        <v>8</v>
      </c>
      <c r="F83" s="297">
        <f>H84+H85</f>
        <v>0</v>
      </c>
      <c r="G83" s="208"/>
      <c r="H83" s="11"/>
    </row>
    <row r="84" spans="1:8" x14ac:dyDescent="0.2">
      <c r="A84" s="5"/>
      <c r="B84" s="13"/>
      <c r="C84" s="229" t="str">
        <f>INDEX(Period1_AR,MATCH(Grid!K1,Begin_Month2))</f>
        <v>July - June</v>
      </c>
      <c r="D84" s="229" t="str" cm="1">
        <f t="array" ref="D84">INDEX(Fiscal_Year_,MATCH($B$8&amp;C84,DATE_COLUMN_AR&amp;CALENDAR_MONTHS_AR,0))</f>
        <v>FY31</v>
      </c>
      <c r="E84" s="262">
        <f>VLOOKUP(C84,Grid2!$I$27:$J$38,2,FALSE)</f>
        <v>12</v>
      </c>
      <c r="F84" s="424" cm="1">
        <f t="array" ref="F84">INDEX(AR_SALARY,MATCH(C83&amp;D84,AR_Title&amp;AR_FY,0))</f>
        <v>19654.062714657146</v>
      </c>
      <c r="G84" s="215">
        <f>Year1!G84</f>
        <v>1</v>
      </c>
      <c r="H84" s="11">
        <f>ROUND(B83*E84*F84*G84,0)</f>
        <v>0</v>
      </c>
    </row>
    <row r="85" spans="1:8" x14ac:dyDescent="0.2">
      <c r="A85" s="5"/>
      <c r="B85" s="13"/>
      <c r="C85" s="229" t="str">
        <f>INDEX(Period2_AR,MATCH(Grid!K1,Begin_Month2))</f>
        <v>none</v>
      </c>
      <c r="D85" s="229" t="str" cm="1">
        <f t="array" ref="D85">INDEX(Fiscal_Year_,MATCH($B$8&amp;C85,DATE_COLUMN_AR&amp;CALENDAR_MONTHS_AR,0))</f>
        <v>FY31</v>
      </c>
      <c r="E85" s="262">
        <f>VLOOKUP(C85,Grid2!$K$27:$L$38,2,FALSE)</f>
        <v>0</v>
      </c>
      <c r="F85" s="424" cm="1">
        <f t="array" ref="F85">INDEX(AR_SALARY,MATCH(C83&amp;D85,AR_Title&amp;AR_FY,0))</f>
        <v>19654.062714657146</v>
      </c>
      <c r="G85" s="215">
        <f>Year1!G85</f>
        <v>1</v>
      </c>
      <c r="H85" s="11">
        <f>ROUND(B83*E85*F85*G85,0)</f>
        <v>0</v>
      </c>
    </row>
    <row r="86" spans="1:8" x14ac:dyDescent="0.2">
      <c r="A86" s="5"/>
      <c r="B86" s="218">
        <f>Year1!B86</f>
        <v>0</v>
      </c>
      <c r="C86" s="330" t="str">
        <f>Year1!C86</f>
        <v>Research Engineer, I</v>
      </c>
      <c r="D86" s="225"/>
      <c r="E86" s="224" t="s">
        <v>8</v>
      </c>
      <c r="F86" s="297">
        <f>H87+H88</f>
        <v>0</v>
      </c>
      <c r="G86" s="208"/>
      <c r="H86" s="11"/>
    </row>
    <row r="87" spans="1:8" x14ac:dyDescent="0.2">
      <c r="A87" s="5"/>
      <c r="B87" s="13"/>
      <c r="C87" s="229" t="str">
        <f>INDEX(Period1_AR,MATCH(Grid!K1,Begin_Month2))</f>
        <v>July - June</v>
      </c>
      <c r="D87" s="229" t="str" cm="1">
        <f t="array" ref="D87">INDEX(Fiscal_Year_,MATCH($B$8&amp;C87,DATE_COLUMN_AR&amp;CALENDAR_MONTHS_AR,0))</f>
        <v>FY31</v>
      </c>
      <c r="E87" s="262">
        <f>VLOOKUP(C87,Grid2!$I$27:$J$38,2,FALSE)</f>
        <v>12</v>
      </c>
      <c r="F87" s="424" cm="1">
        <f t="array" ref="F87">INDEX(AR_SALARY,MATCH(C86&amp;D87,AR_Title&amp;AR_FY,0))</f>
        <v>16970.17351807245</v>
      </c>
      <c r="G87" s="215">
        <f>Year1!G87</f>
        <v>1</v>
      </c>
      <c r="H87" s="11">
        <f>ROUND(B86*E87*F87*G87,0)</f>
        <v>0</v>
      </c>
    </row>
    <row r="88" spans="1:8" x14ac:dyDescent="0.2">
      <c r="A88" s="5"/>
      <c r="B88" s="13"/>
      <c r="C88" s="229" t="str">
        <f>INDEX(Period2_AR,MATCH(Grid!K1,Begin_Month2))</f>
        <v>none</v>
      </c>
      <c r="D88" s="229" t="str" cm="1">
        <f t="array" ref="D88">INDEX(Fiscal_Year_,MATCH($B$8&amp;C88,DATE_COLUMN_AR&amp;CALENDAR_MONTHS_AR,0))</f>
        <v>FY31</v>
      </c>
      <c r="E88" s="262">
        <f>VLOOKUP(C88,Grid2!$K$27:$L$38,2,FALSE)</f>
        <v>0</v>
      </c>
      <c r="F88" s="424" cm="1">
        <f t="array" ref="F88">INDEX(AR_SALARY,MATCH(C86&amp;D88,AR_Title&amp;AR_FY,0))</f>
        <v>16970.17351807245</v>
      </c>
      <c r="G88" s="215">
        <f>Year1!G88</f>
        <v>1</v>
      </c>
      <c r="H88" s="11">
        <f t="shared" ref="H88" si="0">ROUND(B86*E88*F88*G88,0)</f>
        <v>0</v>
      </c>
    </row>
    <row r="89" spans="1:8" x14ac:dyDescent="0.2">
      <c r="A89" s="5"/>
      <c r="B89" s="421">
        <f>Year1!B89</f>
        <v>0</v>
      </c>
      <c r="C89" s="6" t="s">
        <v>18</v>
      </c>
      <c r="D89" s="120" t="s">
        <v>567</v>
      </c>
      <c r="E89" s="213">
        <f>Year1!E89</f>
        <v>0</v>
      </c>
      <c r="F89" s="419">
        <f>Year1!F89</f>
        <v>18.670000000000002</v>
      </c>
      <c r="G89" s="215">
        <f>Year1!G89</f>
        <v>1</v>
      </c>
      <c r="H89" s="11">
        <f t="shared" ref="H89:H94" si="1">ROUND(B89*E89*F89*G89,0)</f>
        <v>0</v>
      </c>
    </row>
    <row r="90" spans="1:8" x14ac:dyDescent="0.2">
      <c r="A90" s="5"/>
      <c r="B90" s="421">
        <f>Year1!B90</f>
        <v>0</v>
      </c>
      <c r="C90" s="6" t="s">
        <v>18</v>
      </c>
      <c r="D90" s="120" t="s">
        <v>567</v>
      </c>
      <c r="E90" s="213">
        <f>Year1!E90</f>
        <v>0</v>
      </c>
      <c r="F90" s="419">
        <f>Year1!F90</f>
        <v>18.670000000000002</v>
      </c>
      <c r="G90" s="215">
        <f>Year1!G90</f>
        <v>1</v>
      </c>
      <c r="H90" s="11">
        <f t="shared" si="1"/>
        <v>0</v>
      </c>
    </row>
    <row r="91" spans="1:8" x14ac:dyDescent="0.2">
      <c r="A91" s="5"/>
      <c r="B91" s="421">
        <f>Year1!B91</f>
        <v>0</v>
      </c>
      <c r="C91" s="6" t="s">
        <v>18</v>
      </c>
      <c r="D91" s="120" t="s">
        <v>567</v>
      </c>
      <c r="E91" s="213">
        <f>Year1!E91</f>
        <v>0</v>
      </c>
      <c r="F91" s="419">
        <f>Year1!F91</f>
        <v>18.670000000000002</v>
      </c>
      <c r="G91" s="215">
        <f>Year1!G91</f>
        <v>1</v>
      </c>
      <c r="H91" s="11">
        <f t="shared" si="1"/>
        <v>0</v>
      </c>
    </row>
    <row r="92" spans="1:8" x14ac:dyDescent="0.2">
      <c r="A92" s="5"/>
      <c r="B92" s="421">
        <f>Year1!B92</f>
        <v>0</v>
      </c>
      <c r="C92" s="6" t="s">
        <v>107</v>
      </c>
      <c r="D92" s="6"/>
      <c r="E92" s="213">
        <f>Year1!E92</f>
        <v>12</v>
      </c>
      <c r="F92" s="214">
        <f>Year4!F92*1.04</f>
        <v>11.698585600000003</v>
      </c>
      <c r="G92" s="215">
        <f>Year1!G92</f>
        <v>1</v>
      </c>
      <c r="H92" s="11">
        <f t="shared" si="1"/>
        <v>0</v>
      </c>
    </row>
    <row r="93" spans="1:8" x14ac:dyDescent="0.2">
      <c r="A93" s="5"/>
      <c r="B93" s="421">
        <f>Year1!B93</f>
        <v>0</v>
      </c>
      <c r="C93" s="6" t="s">
        <v>107</v>
      </c>
      <c r="D93" s="6"/>
      <c r="E93" s="213">
        <f>Year1!E93</f>
        <v>12</v>
      </c>
      <c r="F93" s="214">
        <f>Year4!F93*1.04</f>
        <v>11.698585600000003</v>
      </c>
      <c r="G93" s="215">
        <f>Year1!G93</f>
        <v>1</v>
      </c>
      <c r="H93" s="11">
        <f t="shared" si="1"/>
        <v>0</v>
      </c>
    </row>
    <row r="94" spans="1:8" x14ac:dyDescent="0.2">
      <c r="A94" s="5"/>
      <c r="B94" s="421">
        <f>Year1!B94</f>
        <v>0</v>
      </c>
      <c r="C94" s="6" t="s">
        <v>107</v>
      </c>
      <c r="D94" s="6"/>
      <c r="E94" s="213">
        <f>Year1!E94</f>
        <v>12</v>
      </c>
      <c r="F94" s="214">
        <f>Year4!F94*1.04</f>
        <v>11.698585600000003</v>
      </c>
      <c r="G94" s="215">
        <f>Year1!G94</f>
        <v>1</v>
      </c>
      <c r="H94" s="11">
        <f t="shared" si="1"/>
        <v>0</v>
      </c>
    </row>
    <row r="95" spans="1:8" x14ac:dyDescent="0.2">
      <c r="A95" s="5"/>
      <c r="B95" s="421">
        <f>Year1!B95</f>
        <v>0</v>
      </c>
      <c r="C95" s="6" t="s">
        <v>153</v>
      </c>
      <c r="D95" s="6"/>
      <c r="E95" s="213">
        <f>Year1!E95</f>
        <v>12</v>
      </c>
      <c r="F95" s="214">
        <f>Year4!F95*1.04</f>
        <v>11.698585600000003</v>
      </c>
      <c r="G95" s="215">
        <f>Year1!G95</f>
        <v>1</v>
      </c>
      <c r="H95" s="11">
        <f>ROUND(B95*E95*F95*G95,0)</f>
        <v>0</v>
      </c>
    </row>
    <row r="96" spans="1:8" x14ac:dyDescent="0.2">
      <c r="A96" s="5"/>
      <c r="B96" s="421">
        <f>Year1!B96</f>
        <v>0</v>
      </c>
      <c r="C96" s="6" t="s">
        <v>153</v>
      </c>
      <c r="D96" s="6"/>
      <c r="E96" s="213">
        <f>Year1!E96</f>
        <v>12</v>
      </c>
      <c r="F96" s="214">
        <f>Year4!F96*1.04</f>
        <v>11.698585600000003</v>
      </c>
      <c r="G96" s="215">
        <f>Year1!G96</f>
        <v>1</v>
      </c>
      <c r="H96" s="11">
        <f t="shared" ref="H96:H98" si="2">ROUND(B96*E96*F96*G96,0)</f>
        <v>0</v>
      </c>
    </row>
    <row r="97" spans="1:8" x14ac:dyDescent="0.2">
      <c r="A97" s="5"/>
      <c r="B97" s="421">
        <f>Year1!B97</f>
        <v>0</v>
      </c>
      <c r="C97" s="6" t="s">
        <v>1302</v>
      </c>
      <c r="D97" s="6"/>
      <c r="E97" s="213">
        <f>Year1!E97</f>
        <v>12</v>
      </c>
      <c r="F97" s="214">
        <f>Year4!F97*1.04</f>
        <v>11.698585600000003</v>
      </c>
      <c r="G97" s="215">
        <f>Year1!G97</f>
        <v>1</v>
      </c>
      <c r="H97" s="11">
        <f t="shared" si="2"/>
        <v>0</v>
      </c>
    </row>
    <row r="98" spans="1:8" x14ac:dyDescent="0.2">
      <c r="A98" s="5"/>
      <c r="B98" s="421">
        <f>Year1!B98</f>
        <v>0</v>
      </c>
      <c r="C98" s="6" t="s">
        <v>1302</v>
      </c>
      <c r="D98" s="6"/>
      <c r="E98" s="213">
        <f>Year1!E98</f>
        <v>12</v>
      </c>
      <c r="F98" s="214">
        <f>Year4!F98*1.04</f>
        <v>11.698585600000003</v>
      </c>
      <c r="G98" s="215">
        <f>Year1!G98</f>
        <v>1</v>
      </c>
      <c r="H98" s="11">
        <f t="shared" si="2"/>
        <v>0</v>
      </c>
    </row>
    <row r="99" spans="1:8" x14ac:dyDescent="0.2">
      <c r="A99" s="5"/>
      <c r="D99" s="436" t="s">
        <v>1157</v>
      </c>
      <c r="H99" s="17"/>
    </row>
    <row r="100" spans="1:8" x14ac:dyDescent="0.2">
      <c r="A100" s="5"/>
      <c r="B100" s="443"/>
      <c r="C100" s="441" t="s">
        <v>1183</v>
      </c>
      <c r="D100" s="436"/>
      <c r="E100" s="213"/>
      <c r="F100" s="214"/>
      <c r="G100" s="215"/>
      <c r="H100" s="11"/>
    </row>
    <row r="101" spans="1:8" x14ac:dyDescent="0.2">
      <c r="A101" s="5"/>
      <c r="B101" s="443">
        <f>Year1!B101</f>
        <v>0</v>
      </c>
      <c r="C101" s="6" t="s">
        <v>22</v>
      </c>
      <c r="D101" s="242">
        <f>IF(Year2!D101=Blank,"Blank",Year4!D101+1)</f>
        <v>8</v>
      </c>
      <c r="E101" s="440">
        <f>IF(D101=Blank,"Blank",D101+1)</f>
        <v>9</v>
      </c>
      <c r="F101" s="446"/>
      <c r="G101" s="41"/>
      <c r="H101" s="11"/>
    </row>
    <row r="102" spans="1:8" x14ac:dyDescent="0.2">
      <c r="B102" s="443"/>
      <c r="C102" s="229" t="str">
        <f>INDEX(hiredate2_period1,MATCH(Grid!$K$1,Grid2!$D$2:$D$13))</f>
        <v>July - September</v>
      </c>
      <c r="D102" s="229" t="str" cm="1">
        <f t="array" ref="D102">INDEX(Grid2!$W$27:$W$350,MATCH($B$8&amp;$C$102,Grid2!$U$27:$U$350&amp;Grid2!$V$27:$V$350,0))</f>
        <v>FY30E</v>
      </c>
      <c r="E102" s="229">
        <f>VLOOKUP(C102,Grid2!$I$2:$J$13,2,FALSE)</f>
        <v>3</v>
      </c>
      <c r="F102" s="246" cm="1">
        <f t="array" ref="F102">INDEX(hiredate2_salary,MATCH($D$101&amp;D102,exp_level_hire_date_2&amp;hiredate2_FY,0))</f>
        <v>7806.9</v>
      </c>
      <c r="G102" s="215">
        <f>Year1!G102</f>
        <v>1</v>
      </c>
      <c r="H102" s="11">
        <f>ROUND(B101*E102*F102*G102,0)</f>
        <v>0</v>
      </c>
    </row>
    <row r="103" spans="1:8" x14ac:dyDescent="0.2">
      <c r="B103" s="443"/>
      <c r="C103" s="229" t="str">
        <f>INDEX(Hiredate2_period2,MATCH(Grid!$K$1,Grid2!$D$2:$D$13))</f>
        <v>October - March</v>
      </c>
      <c r="D103" s="229" t="str" cm="1">
        <f t="array" ref="D103">INDEX(Grid2!$W$27:$W$350,MATCH($B$8&amp;$C$103,Grid2!$U$27:$U$350&amp;Grid2!$V$27:$V$350,0))</f>
        <v>FY31R</v>
      </c>
      <c r="E103" s="229">
        <f>VLOOKUP(C103,Grid2!$K$2:$L$13,2,FALSE)</f>
        <v>6</v>
      </c>
      <c r="F103" s="246" cm="1">
        <f t="array" ref="F103">INDEX(hiredate2_salary,MATCH($D$101&amp;D103,exp_level_hire_date_2&amp;hiredate2_FY,0))</f>
        <v>8041.11</v>
      </c>
      <c r="G103" s="215">
        <f>Year1!G103</f>
        <v>1</v>
      </c>
      <c r="H103" s="11">
        <f>ROUND(B101*E103*F103*G103,0)</f>
        <v>0</v>
      </c>
    </row>
    <row r="104" spans="1:8" x14ac:dyDescent="0.2">
      <c r="B104" s="443"/>
      <c r="C104" s="229" t="str">
        <f>INDEX(hiredate2_period3,MATCH(Grid!$K$1,Grid2!$D$2:$D$13))</f>
        <v>April - June</v>
      </c>
      <c r="D104" s="229" t="str" cm="1">
        <f t="array" ref="D104">INDEX(Grid2!$W$27:$W$350,MATCH($B$8&amp;$C$104,Grid2!$U$27:$U$350&amp;Grid2!$V$27:$V$350,0))</f>
        <v>FY31E</v>
      </c>
      <c r="E104" s="229">
        <f>VLOOKUP(C104,Grid2!$M$2:$N$13,2,FALSE)</f>
        <v>3</v>
      </c>
      <c r="F104" s="246" cm="1">
        <f t="array" ref="F104">INDEX(hiredate2_salary,MATCH(($D$101+1)&amp;D104,exp_level_hire_date_2&amp;hiredate2_FY,0))</f>
        <v>8041.11</v>
      </c>
      <c r="G104" s="215">
        <f>Year1!G104</f>
        <v>1</v>
      </c>
      <c r="H104" s="11">
        <f>ROUND(B101*E104*F104*G104,0)</f>
        <v>0</v>
      </c>
    </row>
    <row r="105" spans="1:8" x14ac:dyDescent="0.2">
      <c r="B105" s="443">
        <f>Year1!B105</f>
        <v>0</v>
      </c>
      <c r="C105" s="6" t="s">
        <v>22</v>
      </c>
      <c r="D105" s="242">
        <f>IF(Year2!D105=Blank,"Blank",Year4!D105+1)</f>
        <v>8</v>
      </c>
      <c r="E105" s="458">
        <f>IF(D105=Blank,"Blank",D105+1)</f>
        <v>9</v>
      </c>
      <c r="F105" s="460"/>
      <c r="G105" s="41"/>
      <c r="H105" s="11"/>
    </row>
    <row r="106" spans="1:8" x14ac:dyDescent="0.2">
      <c r="B106" s="443"/>
      <c r="C106" s="229" t="str">
        <f>INDEX(hiredate2_period1,MATCH(Grid!$K$1,Grid2!$D$2:$D$13))</f>
        <v>July - September</v>
      </c>
      <c r="D106" s="229" t="str" cm="1">
        <f t="array" ref="D106">INDEX(Grid2!$W$27:$W$350,MATCH($B$8&amp;$C$102,Grid2!$U$27:$U$350&amp;Grid2!$V$27:$V$350,0))</f>
        <v>FY30E</v>
      </c>
      <c r="E106" s="229">
        <f>VLOOKUP(C106,Grid2!$I$2:$J$13,2,FALSE)</f>
        <v>3</v>
      </c>
      <c r="F106" s="246" cm="1">
        <f t="array" ref="F106">INDEX(hiredate2_salary,MATCH($D$105&amp;D106,exp_level_hire_date_2&amp;hiredate2_FY,0))</f>
        <v>7806.9</v>
      </c>
      <c r="G106" s="215">
        <f>Year1!G106</f>
        <v>1</v>
      </c>
      <c r="H106" s="11">
        <f>ROUND(B105*E106*F106*G106,0)</f>
        <v>0</v>
      </c>
    </row>
    <row r="107" spans="1:8" x14ac:dyDescent="0.2">
      <c r="B107" s="443"/>
      <c r="C107" s="229" t="str">
        <f>INDEX(Hiredate2_period2,MATCH(Grid!$K$1,Grid2!$D$2:$D$13))</f>
        <v>October - March</v>
      </c>
      <c r="D107" s="229" t="str" cm="1">
        <f t="array" ref="D107">INDEX(Grid2!$W$27:$W$350,MATCH($B$8&amp;$C$103,Grid2!$U$27:$U$350&amp;Grid2!$V$27:$V$350,0))</f>
        <v>FY31R</v>
      </c>
      <c r="E107" s="229">
        <f>VLOOKUP(C107,Grid2!$K$2:$L$13,2,FALSE)</f>
        <v>6</v>
      </c>
      <c r="F107" s="246" cm="1">
        <f t="array" ref="F107">INDEX(hiredate2_salary,MATCH($D$105&amp;D107,exp_level_hire_date_2&amp;hiredate2_FY,0))</f>
        <v>8041.11</v>
      </c>
      <c r="G107" s="215">
        <f>Year1!G107</f>
        <v>1</v>
      </c>
      <c r="H107" s="11">
        <f>ROUND(B105*E107*F107*G107,0)</f>
        <v>0</v>
      </c>
    </row>
    <row r="108" spans="1:8" x14ac:dyDescent="0.2">
      <c r="B108" s="443"/>
      <c r="C108" s="229" t="str">
        <f>INDEX(hiredate2_period3,MATCH(Grid!$K$1,Grid2!$D$2:$D$13))</f>
        <v>April - June</v>
      </c>
      <c r="D108" s="229" t="str" cm="1">
        <f t="array" ref="D108">INDEX(Grid2!$W$27:$W$350,MATCH($B$8&amp;$C$104,Grid2!$U$27:$U$350&amp;Grid2!$V$27:$V$350,0))</f>
        <v>FY31E</v>
      </c>
      <c r="E108" s="229">
        <f>VLOOKUP(C108,Grid2!$M$2:$N$13,2,FALSE)</f>
        <v>3</v>
      </c>
      <c r="F108" s="246" cm="1">
        <f t="array" ref="F108">INDEX(hiredate2_salary,MATCH(($D$105+1)&amp;D108,exp_level_hire_date_2&amp;hiredate2_FY,0))</f>
        <v>8041.11</v>
      </c>
      <c r="G108" s="215">
        <f>Year1!G108</f>
        <v>1</v>
      </c>
      <c r="H108" s="11">
        <f>ROUND(B105*E108*F108*G108,0)</f>
        <v>0</v>
      </c>
    </row>
    <row r="109" spans="1:8" x14ac:dyDescent="0.2">
      <c r="B109" s="443">
        <f>Year1!B109</f>
        <v>0</v>
      </c>
      <c r="C109" s="6" t="s">
        <v>22</v>
      </c>
      <c r="D109" s="242">
        <f>IF(Year2!D109=Blank,"Blank",Year4!D109+1)</f>
        <v>8</v>
      </c>
      <c r="E109" s="458">
        <f>IF(D109=Blank,"Blank",D109+1)</f>
        <v>9</v>
      </c>
      <c r="F109" s="460"/>
      <c r="G109" s="41"/>
      <c r="H109" s="11"/>
    </row>
    <row r="110" spans="1:8" x14ac:dyDescent="0.2">
      <c r="B110" s="443"/>
      <c r="C110" s="229" t="str">
        <f>INDEX(hiredate2_period1,MATCH(Grid!$K$1,Grid2!$D$2:$D$13))</f>
        <v>July - September</v>
      </c>
      <c r="D110" s="229" t="str" cm="1">
        <f t="array" ref="D110">INDEX(Grid2!$W$27:$W$350,MATCH($B$8&amp;$C$102,Grid2!$U$27:$U$350&amp;Grid2!$V$27:$V$350,0))</f>
        <v>FY30E</v>
      </c>
      <c r="E110" s="229">
        <f>VLOOKUP(C110,Grid2!$I$2:$J$13,2,FALSE)</f>
        <v>3</v>
      </c>
      <c r="F110" s="246" cm="1">
        <f t="array" ref="F110">INDEX(hiredate2_salary,MATCH($D$109&amp;D110,exp_level_hire_date_2&amp;hiredate2_FY,0))</f>
        <v>7806.9</v>
      </c>
      <c r="G110" s="215">
        <f>Year1!G110</f>
        <v>1</v>
      </c>
      <c r="H110" s="11">
        <f>ROUND(B109*E110*F110*G110,0)</f>
        <v>0</v>
      </c>
    </row>
    <row r="111" spans="1:8" x14ac:dyDescent="0.2">
      <c r="B111" s="443"/>
      <c r="C111" s="229" t="str">
        <f>INDEX(Hiredate2_period2,MATCH(Grid!$K$1,Grid2!$D$2:$D$13))</f>
        <v>October - March</v>
      </c>
      <c r="D111" s="229" t="str" cm="1">
        <f t="array" ref="D111">INDEX(Grid2!$W$27:$W$350,MATCH($B$8&amp;$C$103,Grid2!$U$27:$U$350&amp;Grid2!$V$27:$V$350,0))</f>
        <v>FY31R</v>
      </c>
      <c r="E111" s="229">
        <f>VLOOKUP(C111,Grid2!$K$2:$L$13,2,FALSE)</f>
        <v>6</v>
      </c>
      <c r="F111" s="246" cm="1">
        <f t="array" ref="F111">INDEX(hiredate2_salary,MATCH($D$109&amp;D111,exp_level_hire_date_2&amp;hiredate2_FY,0))</f>
        <v>8041.11</v>
      </c>
      <c r="G111" s="215">
        <f>Year1!G111</f>
        <v>1</v>
      </c>
      <c r="H111" s="11">
        <f>ROUND(B109*E111*F111*G111,0)</f>
        <v>0</v>
      </c>
    </row>
    <row r="112" spans="1:8" x14ac:dyDescent="0.2">
      <c r="B112" s="443"/>
      <c r="C112" s="229" t="str">
        <f>INDEX(hiredate2_period3,MATCH(Grid!$K$1,Grid2!$D$2:$D$13))</f>
        <v>April - June</v>
      </c>
      <c r="D112" s="229" t="str" cm="1">
        <f t="array" ref="D112">INDEX(Grid2!$W$27:$W$350,MATCH($B$8&amp;$C$104,Grid2!$U$27:$U$350&amp;Grid2!$V$27:$V$350,0))</f>
        <v>FY31E</v>
      </c>
      <c r="E112" s="229">
        <f>VLOOKUP(C112,Grid2!$M$2:$N$13,2,FALSE)</f>
        <v>3</v>
      </c>
      <c r="F112" s="246" cm="1">
        <f t="array" ref="F112">INDEX(hiredate2_salary,MATCH(($D$109+1)&amp;D112,exp_level_hire_date_2&amp;hiredate2_FY,0))</f>
        <v>8041.11</v>
      </c>
      <c r="G112" s="215">
        <f>Year1!G112</f>
        <v>1</v>
      </c>
      <c r="H112" s="11">
        <f>ROUND(B109*E112*F112*G112,0)</f>
        <v>0</v>
      </c>
    </row>
    <row r="113" spans="2:8" x14ac:dyDescent="0.2">
      <c r="B113" s="443">
        <f>Year1!B113</f>
        <v>0</v>
      </c>
      <c r="C113" s="6" t="s">
        <v>22</v>
      </c>
      <c r="D113" s="242">
        <f>IF(Year2!D113=Blank,"Blank",Year4!D113+1)</f>
        <v>8</v>
      </c>
      <c r="E113" s="458">
        <f>IF(D113=Blank,"Blank",D113+1)</f>
        <v>9</v>
      </c>
      <c r="F113" s="460"/>
      <c r="G113" s="41"/>
      <c r="H113" s="11"/>
    </row>
    <row r="114" spans="2:8" x14ac:dyDescent="0.2">
      <c r="B114" s="443"/>
      <c r="C114" s="229" t="str">
        <f>INDEX(hiredate2_period1,MATCH(Grid!$K$1,Grid2!$D$2:$D$13))</f>
        <v>July - September</v>
      </c>
      <c r="D114" s="229" t="str" cm="1">
        <f t="array" ref="D114">INDEX(Grid2!$W$27:$W$350,MATCH($B$8&amp;$C$102,Grid2!$U$27:$U$350&amp;Grid2!$V$27:$V$350,0))</f>
        <v>FY30E</v>
      </c>
      <c r="E114" s="229">
        <f>VLOOKUP(C114,Grid2!$I$2:$J$13,2,FALSE)</f>
        <v>3</v>
      </c>
      <c r="F114" s="246" cm="1">
        <f t="array" ref="F114">INDEX(hiredate2_salary,MATCH($D$113&amp;D114,exp_level_hire_date_2&amp;hiredate2_FY,0))</f>
        <v>7806.9</v>
      </c>
      <c r="G114" s="215">
        <f>Year1!G114</f>
        <v>1</v>
      </c>
      <c r="H114" s="11">
        <f>ROUND(B113*E114*F114*G114,0)</f>
        <v>0</v>
      </c>
    </row>
    <row r="115" spans="2:8" x14ac:dyDescent="0.2">
      <c r="B115" s="443"/>
      <c r="C115" s="229" t="str">
        <f>INDEX(Hiredate2_period2,MATCH(Grid!$K$1,Grid2!$D$2:$D$13))</f>
        <v>October - March</v>
      </c>
      <c r="D115" s="229" t="str" cm="1">
        <f t="array" ref="D115">INDEX(Grid2!$W$27:$W$350,MATCH($B$8&amp;$C$103,Grid2!$U$27:$U$350&amp;Grid2!$V$27:$V$350,0))</f>
        <v>FY31R</v>
      </c>
      <c r="E115" s="229">
        <f>VLOOKUP(C115,Grid2!$K$2:$L$13,2,FALSE)</f>
        <v>6</v>
      </c>
      <c r="F115" s="246" cm="1">
        <f t="array" ref="F115">INDEX(hiredate2_salary,MATCH($D$113&amp;D115,exp_level_hire_date_2&amp;hiredate2_FY,0))</f>
        <v>8041.11</v>
      </c>
      <c r="G115" s="215">
        <f>Year1!G115</f>
        <v>1</v>
      </c>
      <c r="H115" s="11">
        <f>ROUND(B113*E115*F115*G115,0)</f>
        <v>0</v>
      </c>
    </row>
    <row r="116" spans="2:8" x14ac:dyDescent="0.2">
      <c r="B116" s="443"/>
      <c r="C116" s="229" t="str">
        <f>INDEX(hiredate2_period3,MATCH(Grid!$K$1,Grid2!$D$2:$D$13))</f>
        <v>April - June</v>
      </c>
      <c r="D116" s="229" t="str" cm="1">
        <f t="array" ref="D116">INDEX(Grid2!$W$27:$W$350,MATCH($B$8&amp;$C$104,Grid2!$U$27:$U$350&amp;Grid2!$V$27:$V$350,0))</f>
        <v>FY31E</v>
      </c>
      <c r="E116" s="229">
        <f>VLOOKUP(C116,Grid2!$M$2:$N$13,2,FALSE)</f>
        <v>3</v>
      </c>
      <c r="F116" s="246" cm="1">
        <f t="array" ref="F116">INDEX(hiredate2_salary,MATCH(($D$113+1)&amp;D116,exp_level_hire_date_2&amp;hiredate2_FY,0))</f>
        <v>8041.11</v>
      </c>
      <c r="G116" s="215">
        <f>Year1!G116</f>
        <v>1</v>
      </c>
      <c r="H116" s="11">
        <f>ROUND(B113*E116*F116*G116,0)</f>
        <v>0</v>
      </c>
    </row>
    <row r="117" spans="2:8" x14ac:dyDescent="0.2">
      <c r="B117" s="442"/>
      <c r="C117" s="444" t="s">
        <v>1182</v>
      </c>
      <c r="D117" s="445"/>
      <c r="E117" s="225"/>
      <c r="F117" s="246"/>
      <c r="G117" s="215"/>
      <c r="H117" s="11"/>
    </row>
    <row r="118" spans="2:8" x14ac:dyDescent="0.2">
      <c r="B118" s="442">
        <f>Year1!B118</f>
        <v>0</v>
      </c>
      <c r="C118" s="455" t="s">
        <v>22</v>
      </c>
      <c r="D118" s="456" t="str">
        <f>Year1!D118</f>
        <v>Blank</v>
      </c>
      <c r="E118" s="458" t="str">
        <f>IF(AND(Year1!G118&gt;5996,Year1!G118&lt;6350),5,"Blank")</f>
        <v>Blank</v>
      </c>
      <c r="F118" s="459"/>
      <c r="G118" s="41"/>
      <c r="H118" s="11"/>
    </row>
    <row r="119" spans="2:8" x14ac:dyDescent="0.2">
      <c r="B119" s="442"/>
      <c r="C119" s="229" t="str">
        <f>INDEX(per_1_postdoc,MATCH(Grid!$K$1,Beg_mos_postdoc))</f>
        <v>July - September</v>
      </c>
      <c r="D119" s="229" t="str" cm="1">
        <f t="array" ref="D119">INDEX(FY_postdoc,MATCH($B$8&amp;$C$119,date_postdoc&amp;cal_mos_postdoc,0))</f>
        <v>FY30</v>
      </c>
      <c r="E119" s="229">
        <f>VLOOKUP(C119,Grid2!$I$44:$J$55,2,FALSE)</f>
        <v>3</v>
      </c>
      <c r="F119" s="246" cm="1">
        <f t="array" ref="F119">INDEX(MonthlySalaryPX,MATCH(E118&amp;D119,PXlevel&amp;FYPX,0))</f>
        <v>7994.1801252616551</v>
      </c>
      <c r="G119" s="215">
        <f>Year1!G119</f>
        <v>1</v>
      </c>
      <c r="H119" s="11">
        <f>ROUND(B118*E119*F119*G119,0)</f>
        <v>0</v>
      </c>
    </row>
    <row r="120" spans="2:8" x14ac:dyDescent="0.2">
      <c r="B120" s="442"/>
      <c r="C120" s="229" t="str">
        <f>INDEX(Per_2_postdoc,MATCH(Grid!$K$1,Beg_mos_postdoc))</f>
        <v>October - June</v>
      </c>
      <c r="D120" s="229" t="str" cm="1">
        <f t="array" ref="D120">INDEX(FY_postdoc,MATCH($B$8&amp;$C$120,date_postdoc&amp;cal_mos_postdoc,0))</f>
        <v>FY31</v>
      </c>
      <c r="E120" s="229">
        <f>VLOOKUP(C120,Grid2!$K$44:$L$55,2,FALSE)</f>
        <v>9</v>
      </c>
      <c r="F120" s="246" cm="1">
        <f t="array" ref="F120">INDEX(MonthlySalaryPX,MATCH(E118&amp;D120,PXlevel&amp;FYPX,0))</f>
        <v>8234.005529019505</v>
      </c>
      <c r="G120" s="215">
        <f>Year1!G120</f>
        <v>1</v>
      </c>
      <c r="H120" s="11">
        <f>ROUND(B118*E120*F120*G120,0)</f>
        <v>0</v>
      </c>
    </row>
    <row r="121" spans="2:8" x14ac:dyDescent="0.2">
      <c r="B121" s="442">
        <f>Year1!B121</f>
        <v>0</v>
      </c>
      <c r="C121" s="455" t="s">
        <v>22</v>
      </c>
      <c r="D121" s="456" t="str">
        <f>Year1!D121</f>
        <v>Blank</v>
      </c>
      <c r="E121" s="458" t="str">
        <f>IF(AND(Year1!G121&gt;5996,Year1!G121&lt;6350),5,"Blank")</f>
        <v>Blank</v>
      </c>
      <c r="F121" s="459"/>
      <c r="G121" s="41"/>
      <c r="H121" s="11"/>
    </row>
    <row r="122" spans="2:8" x14ac:dyDescent="0.2">
      <c r="B122" s="442"/>
      <c r="C122" s="229" t="str">
        <f>INDEX(per_1_postdoc,MATCH(Grid!$K$1,Beg_mos_postdoc))</f>
        <v>July - September</v>
      </c>
      <c r="D122" s="229" t="str" cm="1">
        <f t="array" ref="D122">INDEX(FY_postdoc,MATCH($B$8&amp;$C$119,date_postdoc&amp;cal_mos_postdoc,0))</f>
        <v>FY30</v>
      </c>
      <c r="E122" s="229">
        <f>VLOOKUP(C122,Grid2!$I$44:$J$55,2,FALSE)</f>
        <v>3</v>
      </c>
      <c r="F122" s="246" cm="1">
        <f t="array" ref="F122">INDEX(PX_salary2,MATCH(E121&amp;D122,exp_level_2&amp;PXFY2,0))</f>
        <v>8609.1170579740919</v>
      </c>
      <c r="G122" s="215">
        <f>Year1!G122</f>
        <v>1</v>
      </c>
      <c r="H122" s="11">
        <f>ROUND(B121*E122*F122*G122,0)</f>
        <v>0</v>
      </c>
    </row>
    <row r="123" spans="2:8" x14ac:dyDescent="0.2">
      <c r="B123" s="442"/>
      <c r="C123" s="229" t="str">
        <f>INDEX(Per_2_postdoc,MATCH(Grid!$K$1,Beg_mos_postdoc))</f>
        <v>October - June</v>
      </c>
      <c r="D123" s="229" t="str" cm="1">
        <f t="array" ref="D123">INDEX(FY_postdoc,MATCH($B$8&amp;$C$120,date_postdoc&amp;cal_mos_postdoc,0))</f>
        <v>FY31</v>
      </c>
      <c r="E123" s="229">
        <f>VLOOKUP(C123,Grid2!$K$44:$L$55,2,FALSE)</f>
        <v>9</v>
      </c>
      <c r="F123" s="246" cm="1">
        <f t="array" ref="F123">INDEX(PX_salary2,MATCH(E121&amp;D123,exp_level_2&amp;PXFY2,0))</f>
        <v>8867.3905697133141</v>
      </c>
      <c r="G123" s="215">
        <f>Year1!G123</f>
        <v>1</v>
      </c>
      <c r="H123" s="11">
        <f>ROUND(B121*E123*F123*G123,0)</f>
        <v>0</v>
      </c>
    </row>
    <row r="124" spans="2:8" x14ac:dyDescent="0.2">
      <c r="B124" s="442">
        <f>Year1!B124</f>
        <v>0</v>
      </c>
      <c r="C124" s="455" t="s">
        <v>22</v>
      </c>
      <c r="D124" s="456" t="str">
        <f>Year1!D124</f>
        <v>Blank</v>
      </c>
      <c r="E124" s="458" t="str">
        <f>IF(AND(Year1!G124&gt;5996,Year1!G124&lt;6350),5,"Blank")</f>
        <v>Blank</v>
      </c>
      <c r="F124" s="459"/>
      <c r="G124" s="41"/>
      <c r="H124" s="11"/>
    </row>
    <row r="125" spans="2:8" x14ac:dyDescent="0.2">
      <c r="B125" s="442"/>
      <c r="C125" s="229" t="str">
        <f>INDEX(per_1_postdoc,MATCH(Grid!$K$1,Beg_mos_postdoc))</f>
        <v>July - September</v>
      </c>
      <c r="D125" s="229" t="str" cm="1">
        <f t="array" ref="D125">INDEX(FY_postdoc,MATCH($B$8&amp;$C$119,date_postdoc&amp;cal_mos_postdoc,0))</f>
        <v>FY30</v>
      </c>
      <c r="E125" s="229">
        <f>VLOOKUP(C125,Grid2!$I$44:$J$55,2,FALSE)</f>
        <v>3</v>
      </c>
      <c r="F125" s="246" cm="1">
        <f t="array" ref="F125">INDEX(PX_salary3,MATCH(D124&amp;D125,exp_level_3&amp;PXFY3,0))</f>
        <v>8855.0918310590678</v>
      </c>
      <c r="G125" s="215">
        <f>Year1!G125</f>
        <v>1</v>
      </c>
      <c r="H125" s="11">
        <f>ROUND(B124*E125*F125*G125,0)</f>
        <v>0</v>
      </c>
    </row>
    <row r="126" spans="2:8" x14ac:dyDescent="0.2">
      <c r="B126" s="442"/>
      <c r="C126" s="229" t="str">
        <f>INDEX(Per_2_postdoc,MATCH(Grid!$K$1,Beg_mos_postdoc))</f>
        <v>October - June</v>
      </c>
      <c r="D126" s="229" t="str" cm="1">
        <f t="array" ref="D126">INDEX(FY_postdoc,MATCH($B$8&amp;$C$120,date_postdoc&amp;cal_mos_postdoc,0))</f>
        <v>FY31</v>
      </c>
      <c r="E126" s="229">
        <f>VLOOKUP(C126,Grid2!$K$44:$L$55,2,FALSE)</f>
        <v>9</v>
      </c>
      <c r="F126" s="246" cm="1">
        <f t="array" ref="F126">INDEX(PX_salary3,MATCH(D124&amp;D126,exp_level_3&amp;PXFY3,0))</f>
        <v>9120.7445859908403</v>
      </c>
      <c r="G126" s="215">
        <f>Year1!G126</f>
        <v>1</v>
      </c>
      <c r="H126" s="11">
        <f>ROUND(B124*E126*F126*G126,0)</f>
        <v>0</v>
      </c>
    </row>
    <row r="127" spans="2:8" x14ac:dyDescent="0.2">
      <c r="B127" s="442">
        <f>Year1!B127</f>
        <v>0</v>
      </c>
      <c r="C127" s="6" t="s">
        <v>22</v>
      </c>
      <c r="D127" s="242">
        <f>IF(Year2!D127=Blank,"Blank",Year4!D127+1)</f>
        <v>8</v>
      </c>
      <c r="E127" s="458">
        <f>IF(D127=Blank,"Blank",D127+1)</f>
        <v>9</v>
      </c>
      <c r="F127" s="460"/>
      <c r="G127" s="41"/>
      <c r="H127" s="11"/>
    </row>
    <row r="128" spans="2:8" x14ac:dyDescent="0.2">
      <c r="B128" s="442"/>
      <c r="C128" s="229" t="str">
        <f>INDEX(per_1_postdoc,MATCH(Grid!$K$1,Beg_mos_postdoc))</f>
        <v>July - September</v>
      </c>
      <c r="D128" s="229" t="str" cm="1">
        <f t="array" ref="D128">INDEX(FY_postdoc,MATCH($B$8&amp;$C$119,date_postdoc&amp;cal_mos_postdoc,0))</f>
        <v>FY30</v>
      </c>
      <c r="E128" s="229">
        <f>VLOOKUP(C128,Grid2!$I$44:$J$55,2,FALSE)</f>
        <v>3</v>
      </c>
      <c r="F128" s="246" cm="1">
        <f t="array" ref="F128">INDEX(MonthlySalaryPX,MATCH(D127&amp;D128,PXlevel&amp;FYPX,0))</f>
        <v>7806.9</v>
      </c>
      <c r="G128" s="215">
        <f>Year1!G128</f>
        <v>1</v>
      </c>
      <c r="H128" s="11">
        <f>ROUND(B127*E128*F128*G128,0)</f>
        <v>0</v>
      </c>
    </row>
    <row r="129" spans="2:8" x14ac:dyDescent="0.2">
      <c r="B129" s="442"/>
      <c r="C129" s="229" t="str">
        <f>INDEX(Per_2_postdoc,MATCH(Grid!$K$1,Beg_mos_postdoc))</f>
        <v>October - June</v>
      </c>
      <c r="D129" s="229" t="str" cm="1">
        <f t="array" ref="D129">INDEX(FY_postdoc,MATCH($B$8&amp;$C$120,date_postdoc&amp;cal_mos_postdoc,0))</f>
        <v>FY31</v>
      </c>
      <c r="E129" s="229">
        <f>VLOOKUP(C129,Grid2!$K$44:$L$55,2,FALSE)</f>
        <v>9</v>
      </c>
      <c r="F129" s="246" cm="1">
        <f t="array" ref="F129">INDEX(MonthlySalaryPX,MATCH(E127&amp;D129,PXlevel&amp;FYPX,0))</f>
        <v>8041.107</v>
      </c>
      <c r="G129" s="215">
        <f>Year1!G129</f>
        <v>1</v>
      </c>
      <c r="H129" s="11">
        <f>ROUND(B127*E129*F129*G129,0)</f>
        <v>0</v>
      </c>
    </row>
    <row r="130" spans="2:8" x14ac:dyDescent="0.2">
      <c r="B130" s="442">
        <f>Year1!B130</f>
        <v>0</v>
      </c>
      <c r="C130" s="6" t="s">
        <v>22</v>
      </c>
      <c r="D130" s="242">
        <f>IF(Year2!D130=Blank,"Blank",Year4!D130+1)</f>
        <v>9</v>
      </c>
      <c r="E130" s="458">
        <f>IF(D130=Blank,"Blank",D130+1)</f>
        <v>10</v>
      </c>
      <c r="F130" s="460"/>
      <c r="G130" s="41"/>
      <c r="H130" s="11"/>
    </row>
    <row r="131" spans="2:8" x14ac:dyDescent="0.2">
      <c r="B131" s="442"/>
      <c r="C131" s="229" t="str">
        <f>INDEX(per_1_postdoc,MATCH(Grid!$K$1,Beg_mos_postdoc))</f>
        <v>July - September</v>
      </c>
      <c r="D131" s="229" t="str" cm="1">
        <f t="array" ref="D131">INDEX(FY_postdoc,MATCH($B$8&amp;$C$119,date_postdoc&amp;cal_mos_postdoc,0))</f>
        <v>FY30</v>
      </c>
      <c r="E131" s="229">
        <f>VLOOKUP(C131,Grid2!$I$44:$J$55,2,FALSE)</f>
        <v>3</v>
      </c>
      <c r="F131" s="246" cm="1">
        <f t="array" ref="F131">INDEX(MonthlySalaryPX,MATCH(D130&amp;D131,PXlevel&amp;FYPX,0))</f>
        <v>7806.9</v>
      </c>
      <c r="G131" s="215">
        <f>Year1!G131</f>
        <v>1</v>
      </c>
      <c r="H131" s="11">
        <f>ROUND(B130*E131*F131*G131,0)</f>
        <v>0</v>
      </c>
    </row>
    <row r="132" spans="2:8" x14ac:dyDescent="0.2">
      <c r="B132" s="442"/>
      <c r="C132" s="229" t="str">
        <f>INDEX(Per_2_postdoc,MATCH(Grid!$K$1,Beg_mos_postdoc))</f>
        <v>October - June</v>
      </c>
      <c r="D132" s="229" t="str" cm="1">
        <f t="array" ref="D132">INDEX(FY_postdoc,MATCH($B$8&amp;$C$120,date_postdoc&amp;cal_mos_postdoc,0))</f>
        <v>FY31</v>
      </c>
      <c r="E132" s="229">
        <f>VLOOKUP(C132,Grid2!$K$44:$L$55,2,FALSE)</f>
        <v>9</v>
      </c>
      <c r="F132" s="246" cm="1">
        <f t="array" ref="F132">INDEX(MonthlySalaryPX,MATCH(E130&amp;D132,PXlevel&amp;FYPX,0))</f>
        <v>8041.107</v>
      </c>
      <c r="G132" s="215">
        <f>Year1!G132</f>
        <v>1</v>
      </c>
      <c r="H132" s="11">
        <f>ROUND(B130*E132*F132*G132,0)</f>
        <v>0</v>
      </c>
    </row>
    <row r="133" spans="2:8" x14ac:dyDescent="0.2">
      <c r="B133" s="442">
        <f>Year1!B133</f>
        <v>0</v>
      </c>
      <c r="C133" s="6" t="s">
        <v>22</v>
      </c>
      <c r="D133" s="242">
        <f>IF(Year2!D133=Blank,"Blank",Year4!D133+1)</f>
        <v>9</v>
      </c>
      <c r="E133" s="458">
        <f>IF(D133=Blank,"Blank",D133+1)</f>
        <v>10</v>
      </c>
      <c r="F133" s="460"/>
      <c r="G133" s="41"/>
      <c r="H133" s="11"/>
    </row>
    <row r="134" spans="2:8" x14ac:dyDescent="0.2">
      <c r="B134" s="442"/>
      <c r="C134" s="229" t="str">
        <f>INDEX(per_1_postdoc,MATCH(Grid!$K$1,Beg_mos_postdoc))</f>
        <v>July - September</v>
      </c>
      <c r="D134" s="229" t="str" cm="1">
        <f t="array" ref="D134">INDEX(FY_postdoc,MATCH($B$8&amp;$C$119,date_postdoc&amp;cal_mos_postdoc,0))</f>
        <v>FY30</v>
      </c>
      <c r="E134" s="229">
        <f>VLOOKUP(C134,Grid2!$I$44:$J$55,2,FALSE)</f>
        <v>3</v>
      </c>
      <c r="F134" s="246" cm="1">
        <f t="array" ref="F134">INDEX(MonthlySalaryPX,MATCH(D133&amp;D134,PXlevel&amp;FYPX,0))</f>
        <v>7806.9</v>
      </c>
      <c r="G134" s="215">
        <f>Year1!G134</f>
        <v>1</v>
      </c>
      <c r="H134" s="11">
        <f>ROUND(B133*E134*F134*G134,0)</f>
        <v>0</v>
      </c>
    </row>
    <row r="135" spans="2:8" x14ac:dyDescent="0.2">
      <c r="B135" s="442"/>
      <c r="C135" s="229" t="str">
        <f>INDEX(Per_2_postdoc,MATCH(Grid!$K$1,Beg_mos_postdoc))</f>
        <v>October - June</v>
      </c>
      <c r="D135" s="229" t="str" cm="1">
        <f t="array" ref="D135">INDEX(FY_postdoc,MATCH($B$8&amp;$C$120,date_postdoc&amp;cal_mos_postdoc,0))</f>
        <v>FY31</v>
      </c>
      <c r="E135" s="229">
        <f>VLOOKUP(C135,Grid2!$K$44:$L$55,2,FALSE)</f>
        <v>9</v>
      </c>
      <c r="F135" s="246" cm="1">
        <f t="array" ref="F135">INDEX(MonthlySalaryPX,MATCH(E133&amp;D135,PXlevel&amp;FYPX,0))</f>
        <v>8041.107</v>
      </c>
      <c r="G135" s="215">
        <f>Year1!G135</f>
        <v>1</v>
      </c>
      <c r="H135" s="11">
        <f>ROUND(B133*E135*F135*G135,0)</f>
        <v>0</v>
      </c>
    </row>
    <row r="136" spans="2:8" x14ac:dyDescent="0.2">
      <c r="B136" s="442">
        <f>Year1!B136</f>
        <v>0</v>
      </c>
      <c r="C136" s="6" t="s">
        <v>22</v>
      </c>
      <c r="D136" s="242">
        <f>IF(Year2!D136=Blank,"Blank",Year4!D136+1)</f>
        <v>9</v>
      </c>
      <c r="E136" s="458">
        <f>IF(D136=Blank,"Blank",D136+1)</f>
        <v>10</v>
      </c>
      <c r="F136" s="460"/>
      <c r="G136" s="41"/>
      <c r="H136" s="11"/>
    </row>
    <row r="137" spans="2:8" x14ac:dyDescent="0.2">
      <c r="B137" s="442"/>
      <c r="C137" s="229" t="str">
        <f>INDEX(per_1_postdoc,MATCH(Grid!$K$1,Beg_mos_postdoc))</f>
        <v>July - September</v>
      </c>
      <c r="D137" s="229" t="str" cm="1">
        <f t="array" ref="D137">INDEX(FY_postdoc,MATCH($B$8&amp;$C$119,date_postdoc&amp;cal_mos_postdoc,0))</f>
        <v>FY30</v>
      </c>
      <c r="E137" s="229">
        <f>VLOOKUP(C137,Grid2!$I$44:$J$55,2,FALSE)</f>
        <v>3</v>
      </c>
      <c r="F137" s="246" cm="1">
        <f t="array" ref="F137">INDEX(MonthlySalaryPX,MATCH(D136&amp;D137,PXlevel&amp;FYPX,0))</f>
        <v>7806.9</v>
      </c>
      <c r="G137" s="215">
        <f>Year1!G137</f>
        <v>1</v>
      </c>
      <c r="H137" s="11">
        <f>ROUND(B136*E137*F137*G137,0)</f>
        <v>0</v>
      </c>
    </row>
    <row r="138" spans="2:8" x14ac:dyDescent="0.2">
      <c r="B138" s="442"/>
      <c r="C138" s="229" t="str">
        <f>INDEX(Per_2_postdoc,MATCH(Grid!$K$1,Beg_mos_postdoc))</f>
        <v>October - June</v>
      </c>
      <c r="D138" s="229" t="str" cm="1">
        <f t="array" ref="D138">INDEX(FY_postdoc,MATCH($B$8&amp;$C$120,date_postdoc&amp;cal_mos_postdoc,0))</f>
        <v>FY31</v>
      </c>
      <c r="E138" s="229">
        <f>VLOOKUP(C138,Grid2!$K$44:$L$55,2,FALSE)</f>
        <v>9</v>
      </c>
      <c r="F138" s="246" cm="1">
        <f t="array" ref="F138">INDEX(MonthlySalaryPX,MATCH(E136&amp;D138,PXlevel&amp;FYPX,0))</f>
        <v>8041.107</v>
      </c>
      <c r="G138" s="215">
        <f>Year1!G138</f>
        <v>1</v>
      </c>
      <c r="H138" s="11">
        <f>ROUND(B136*E138*F138*G138,0)</f>
        <v>0</v>
      </c>
    </row>
    <row r="139" spans="2:8" x14ac:dyDescent="0.2">
      <c r="B139" s="442">
        <f>Year1!B139</f>
        <v>0</v>
      </c>
      <c r="C139" s="6" t="s">
        <v>22</v>
      </c>
      <c r="D139" s="242">
        <f>IF(Year2!D139=Blank,"Blank",Year4!D139+1)</f>
        <v>9</v>
      </c>
      <c r="E139" s="458">
        <f>IF(D139=Blank,"Blank",D139+1)</f>
        <v>10</v>
      </c>
      <c r="F139" s="460"/>
      <c r="G139" s="41"/>
      <c r="H139" s="11"/>
    </row>
    <row r="140" spans="2:8" x14ac:dyDescent="0.2">
      <c r="B140" s="442"/>
      <c r="C140" s="229" t="str">
        <f>INDEX(per_1_postdoc,MATCH(Grid!$K$1,Beg_mos_postdoc))</f>
        <v>July - September</v>
      </c>
      <c r="D140" s="229" t="str" cm="1">
        <f t="array" ref="D140">INDEX(FY_postdoc,MATCH($B$8&amp;$C$119,date_postdoc&amp;cal_mos_postdoc,0))</f>
        <v>FY30</v>
      </c>
      <c r="E140" s="229">
        <f>VLOOKUP(C140,Grid2!$I$44:$J$55,2,FALSE)</f>
        <v>3</v>
      </c>
      <c r="F140" s="246" cm="1">
        <f t="array" ref="F140">INDEX(MonthlySalaryPX,MATCH(D139&amp;D140,PXlevel&amp;FYPX,0))</f>
        <v>7806.9</v>
      </c>
      <c r="G140" s="215">
        <f>Year1!G140</f>
        <v>1</v>
      </c>
      <c r="H140" s="11">
        <f>ROUND(B139*E140*F140*G140,0)</f>
        <v>0</v>
      </c>
    </row>
    <row r="141" spans="2:8" x14ac:dyDescent="0.2">
      <c r="B141" s="442"/>
      <c r="C141" s="229" t="str">
        <f>INDEX(Per_2_postdoc,MATCH(Grid!$K$1,Beg_mos_postdoc))</f>
        <v>October - June</v>
      </c>
      <c r="D141" s="229" t="str" cm="1">
        <f t="array" ref="D141">INDEX(FY_postdoc,MATCH($B$8&amp;$C$120,date_postdoc&amp;cal_mos_postdoc,0))</f>
        <v>FY31</v>
      </c>
      <c r="E141" s="229">
        <f>VLOOKUP(C141,Grid2!$K$44:$L$55,2,FALSE)</f>
        <v>9</v>
      </c>
      <c r="F141" s="246" cm="1">
        <f t="array" ref="F141">INDEX(MonthlySalaryPX,MATCH(E139&amp;D141,PXlevel&amp;FYPX,0))</f>
        <v>8041.107</v>
      </c>
      <c r="G141" s="215">
        <f>Year1!G141</f>
        <v>1</v>
      </c>
      <c r="H141" s="11">
        <f>ROUND(B139*E141*F141*G141,0)</f>
        <v>0</v>
      </c>
    </row>
    <row r="142" spans="2:8" x14ac:dyDescent="0.2">
      <c r="B142" s="442">
        <f>Year1!B142</f>
        <v>0</v>
      </c>
      <c r="C142" s="6" t="s">
        <v>22</v>
      </c>
      <c r="D142" s="242">
        <f>IF(Year2!D142=Blank,"Blank",Year4!D142+1)</f>
        <v>9</v>
      </c>
      <c r="E142" s="458">
        <f>IF(D142=Blank,"Blank",D142+1)</f>
        <v>10</v>
      </c>
      <c r="F142" s="460"/>
      <c r="G142" s="41"/>
      <c r="H142" s="11"/>
    </row>
    <row r="143" spans="2:8" x14ac:dyDescent="0.2">
      <c r="B143" s="442"/>
      <c r="C143" s="229" t="str">
        <f>INDEX(per_1_postdoc,MATCH(Grid!$K$1,Beg_mos_postdoc))</f>
        <v>July - September</v>
      </c>
      <c r="D143" s="229" t="str" cm="1">
        <f t="array" ref="D143">INDEX(FY_postdoc,MATCH($B$8&amp;$C$119,date_postdoc&amp;cal_mos_postdoc,0))</f>
        <v>FY30</v>
      </c>
      <c r="E143" s="229">
        <f>VLOOKUP(C143,Grid2!$I$44:$J$55,2,FALSE)</f>
        <v>3</v>
      </c>
      <c r="F143" s="246" cm="1">
        <f t="array" ref="F143">INDEX(MonthlySalaryPX,MATCH(D142&amp;D143,PXlevel&amp;FYPX,0))</f>
        <v>7806.9</v>
      </c>
      <c r="G143" s="215">
        <f>Year1!G143</f>
        <v>1</v>
      </c>
      <c r="H143" s="11">
        <f>ROUND(B142*E143*F143*G143,0)</f>
        <v>0</v>
      </c>
    </row>
    <row r="144" spans="2:8" x14ac:dyDescent="0.2">
      <c r="B144" s="442"/>
      <c r="C144" s="229" t="str">
        <f>INDEX(Per_2_postdoc,MATCH(Grid!$K$1,Beg_mos_postdoc))</f>
        <v>October - June</v>
      </c>
      <c r="D144" s="229" t="str" cm="1">
        <f t="array" ref="D144">INDEX(FY_postdoc,MATCH($B$8&amp;$C$120,date_postdoc&amp;cal_mos_postdoc,0))</f>
        <v>FY31</v>
      </c>
      <c r="E144" s="229">
        <f>VLOOKUP(C144,Grid2!$K$44:$L$55,2,FALSE)</f>
        <v>9</v>
      </c>
      <c r="F144" s="246" cm="1">
        <f t="array" ref="F144">INDEX(MonthlySalaryPX,MATCH(E142&amp;D144,PXlevel&amp;FYPX,0))</f>
        <v>8041.107</v>
      </c>
      <c r="G144" s="215">
        <f>Year1!G144</f>
        <v>1</v>
      </c>
      <c r="H144" s="11">
        <f>ROUND(B142*E144*F144*G144,0)</f>
        <v>0</v>
      </c>
    </row>
    <row r="145" spans="1:8" x14ac:dyDescent="0.2">
      <c r="B145" s="442">
        <f>Year1!B145</f>
        <v>0</v>
      </c>
      <c r="C145" s="6" t="s">
        <v>22</v>
      </c>
      <c r="D145" s="242">
        <f>IF(Year2!D145=Blank,"Blank",Year4!D145+1)</f>
        <v>9</v>
      </c>
      <c r="E145" s="458">
        <f>IF(D145=Blank,"Blank",D145+1)</f>
        <v>10</v>
      </c>
      <c r="F145" s="460"/>
      <c r="G145" s="41"/>
      <c r="H145" s="11"/>
    </row>
    <row r="146" spans="1:8" x14ac:dyDescent="0.2">
      <c r="B146" s="442"/>
      <c r="C146" s="229" t="str">
        <f>INDEX(per_1_postdoc,MATCH(Grid!$K$1,Beg_mos_postdoc))</f>
        <v>July - September</v>
      </c>
      <c r="D146" s="229" t="str" cm="1">
        <f t="array" ref="D146">INDEX(FY_postdoc,MATCH($B$8&amp;$C$119,date_postdoc&amp;cal_mos_postdoc,0))</f>
        <v>FY30</v>
      </c>
      <c r="E146" s="229">
        <f>VLOOKUP(C146,Grid2!$I$44:$J$55,2,FALSE)</f>
        <v>3</v>
      </c>
      <c r="F146" s="246" cm="1">
        <f t="array" ref="F146">INDEX(MonthlySalaryPX,MATCH(D145&amp;D146,PXlevel&amp;FYPX,0))</f>
        <v>7806.9</v>
      </c>
      <c r="G146" s="215">
        <f>Year1!G146</f>
        <v>1</v>
      </c>
      <c r="H146" s="11">
        <f>ROUND(B145*E146*F146*G146,0)</f>
        <v>0</v>
      </c>
    </row>
    <row r="147" spans="1:8" x14ac:dyDescent="0.2">
      <c r="B147" s="442"/>
      <c r="C147" s="229" t="str">
        <f>INDEX(Per_2_postdoc,MATCH(Grid!$K$1,Beg_mos_postdoc))</f>
        <v>October - June</v>
      </c>
      <c r="D147" s="229" t="str" cm="1">
        <f t="array" ref="D147">INDEX(FY_postdoc,MATCH($B$8&amp;$C$120,date_postdoc&amp;cal_mos_postdoc,0))</f>
        <v>FY31</v>
      </c>
      <c r="E147" s="229">
        <f>VLOOKUP(C147,Grid2!$K$44:$L$55,2,FALSE)</f>
        <v>9</v>
      </c>
      <c r="F147" s="246" cm="1">
        <f t="array" ref="F147">INDEX(MonthlySalaryPX,MATCH(E145&amp;D147,PXlevel&amp;FYPX,0))</f>
        <v>8041.107</v>
      </c>
      <c r="G147" s="215">
        <f>Year1!G147</f>
        <v>1</v>
      </c>
      <c r="H147" s="11">
        <f>ROUND(B145*E147*F147*G147,0)</f>
        <v>0</v>
      </c>
    </row>
    <row r="148" spans="1:8" ht="13.5" thickBot="1" x14ac:dyDescent="0.25">
      <c r="C148" s="13" t="s">
        <v>133</v>
      </c>
      <c r="D148" s="427" t="s">
        <v>1127</v>
      </c>
      <c r="E148" s="224"/>
      <c r="F148" s="297">
        <f>H147+H146+H144+H143+H141+H140+H138+H137+H135+H134+H132+H131+H129+H128+H120+H119+H116+H115+H114+H112+H111+H110+H108+H107+H106+H104+H103+H102+H122+H123+H125+H126</f>
        <v>0</v>
      </c>
      <c r="G148" s="8" t="s">
        <v>9</v>
      </c>
      <c r="H148" s="21">
        <f>IF(Year1!H8=1,0,IF(Year1!H8=2,0,IF(Year1!H8=3,0,IF(Year1!H8=4,0,SUM(H84:H147)))))</f>
        <v>0</v>
      </c>
    </row>
    <row r="149" spans="1:8" ht="13.5" thickBot="1" x14ac:dyDescent="0.25">
      <c r="A149" s="292" t="s">
        <v>15</v>
      </c>
      <c r="B149" s="234"/>
      <c r="C149" s="234"/>
      <c r="D149" s="234"/>
      <c r="E149" s="234"/>
      <c r="F149" s="234"/>
      <c r="G149" s="234"/>
      <c r="H149" s="293">
        <f>H148+H81+H23</f>
        <v>0</v>
      </c>
    </row>
    <row r="150" spans="1:8" x14ac:dyDescent="0.2">
      <c r="A150" s="3" t="s">
        <v>16</v>
      </c>
      <c r="B150" s="2"/>
      <c r="C150" s="2"/>
      <c r="D150" s="2"/>
      <c r="E150" s="2"/>
      <c r="F150" s="2"/>
      <c r="G150" s="14" t="s">
        <v>20</v>
      </c>
      <c r="H150" s="55" t="s">
        <v>8</v>
      </c>
    </row>
    <row r="151" spans="1:8" x14ac:dyDescent="0.2">
      <c r="A151" s="5"/>
      <c r="B151" s="6" t="s">
        <v>19</v>
      </c>
      <c r="C151" s="6"/>
      <c r="D151" s="6"/>
      <c r="E151" s="6"/>
      <c r="F151" s="262" t="s">
        <v>543</v>
      </c>
      <c r="G151" s="23">
        <f>LOOKUP($B$8,Grid!$E$331:$E$414,Grid!$H$331:$H$414)</f>
        <v>0.153</v>
      </c>
      <c r="H151" s="11">
        <f>(SUMIF($B$12:$B$22,"Academic",$H$12:$H$22)*$G$151)</f>
        <v>0</v>
      </c>
    </row>
    <row r="152" spans="1:8" x14ac:dyDescent="0.2">
      <c r="A152" s="5"/>
      <c r="B152" s="6"/>
      <c r="C152" s="6"/>
      <c r="D152" s="6"/>
      <c r="E152" s="6"/>
      <c r="F152" s="262" t="s">
        <v>1185</v>
      </c>
      <c r="G152" s="23">
        <f>LOOKUP($B$8,Grid!$E$331:$E$414,Grid!$G$331:$G$414)</f>
        <v>0.36799999999999999</v>
      </c>
      <c r="H152" s="11">
        <f>(SUMIF($B$12:$B$22,"Calendar",$H$12:$H$22)*$G$152)</f>
        <v>0</v>
      </c>
    </row>
    <row r="153" spans="1:8" x14ac:dyDescent="0.2">
      <c r="A153" s="5"/>
      <c r="B153" s="6"/>
      <c r="C153" s="6"/>
      <c r="D153" s="6"/>
      <c r="E153" s="6"/>
      <c r="F153" s="262" t="s">
        <v>1184</v>
      </c>
      <c r="G153" s="23">
        <f>LOOKUP($B$8,Grid!$E$331:$E$414,Grid!$I$331:$I$414)</f>
        <v>0.153</v>
      </c>
      <c r="H153" s="11">
        <f>(SUMIF($B$12:$B$22,"Recall",$H$12:$H$22)*$G$153)</f>
        <v>0</v>
      </c>
    </row>
    <row r="154" spans="1:8" x14ac:dyDescent="0.2">
      <c r="A154" s="5"/>
      <c r="B154" s="6"/>
      <c r="C154" s="6"/>
      <c r="D154" s="13" t="s">
        <v>208</v>
      </c>
      <c r="E154" s="60">
        <f>C25+C33+C41+C49+C57+C65+C73</f>
        <v>0</v>
      </c>
      <c r="F154" s="6"/>
      <c r="G154" s="23"/>
      <c r="H154" s="11"/>
    </row>
    <row r="155" spans="1:8" x14ac:dyDescent="0.2">
      <c r="A155" s="5"/>
      <c r="B155" s="6"/>
      <c r="C155" s="15" t="s">
        <v>52</v>
      </c>
      <c r="D155" s="15"/>
      <c r="E155" s="218">
        <f>Year1!E155</f>
        <v>0</v>
      </c>
      <c r="F155" s="22"/>
      <c r="G155" s="24"/>
      <c r="H155" s="25"/>
    </row>
    <row r="156" spans="1:8" x14ac:dyDescent="0.2">
      <c r="A156" s="5"/>
      <c r="B156" s="22"/>
      <c r="C156" s="15" t="s">
        <v>53</v>
      </c>
      <c r="D156" s="15"/>
      <c r="E156" s="218">
        <f>Year1!E156</f>
        <v>0</v>
      </c>
      <c r="F156" s="22"/>
      <c r="G156" s="24"/>
      <c r="H156" s="25"/>
    </row>
    <row r="157" spans="1:8" x14ac:dyDescent="0.2">
      <c r="A157" s="5"/>
      <c r="B157" s="22"/>
      <c r="C157" s="15"/>
      <c r="D157" s="15" t="s">
        <v>550</v>
      </c>
      <c r="E157" s="13"/>
      <c r="F157" s="13" t="s">
        <v>551</v>
      </c>
      <c r="G157" s="24"/>
      <c r="H157" s="25"/>
    </row>
    <row r="158" spans="1:8" x14ac:dyDescent="0.2">
      <c r="A158" s="5"/>
      <c r="B158" s="22" t="s">
        <v>21</v>
      </c>
      <c r="C158" s="22"/>
      <c r="D158" s="425">
        <f>LOOKUP($B$8,Grid!$E$230:$E$325,Grid!$G$230:$G$325)</f>
        <v>4076</v>
      </c>
      <c r="E158" s="113"/>
      <c r="F158" s="425">
        <f>LOOKUP($B$8,Grid!$E$230:$E$325,Grid!$H$230:$H$325)</f>
        <v>4076</v>
      </c>
      <c r="G158" s="26">
        <f>ROUND(D158+F158,0)</f>
        <v>8152</v>
      </c>
      <c r="H158" s="25">
        <f>IF(Year1!H8=1,0,IF(Year1!H8=2,0,IF(Year1!H8=3,0,IF(Year1!H8=4,0,(Year5!E155+Year5!E156)*Year5!G158))))</f>
        <v>0</v>
      </c>
    </row>
    <row r="159" spans="1:8" x14ac:dyDescent="0.2">
      <c r="A159" s="5"/>
      <c r="B159" s="22" t="s">
        <v>501</v>
      </c>
      <c r="C159" s="22"/>
      <c r="D159" s="425">
        <f>LOOKUP($B$8,Grid!$E$230:$E$325,Grid!$I$230:$I$325)</f>
        <v>10202</v>
      </c>
      <c r="E159" s="113"/>
      <c r="F159" s="425">
        <f>LOOKUP($B$8,Grid!$E$230:$E$325,Grid!$J$230:$J$325)</f>
        <v>10202</v>
      </c>
      <c r="G159" s="26">
        <f>ROUND(D159+F159,0)</f>
        <v>20404</v>
      </c>
      <c r="H159" s="25">
        <f>IF(Year1!H8=1,0,IF(Year1!H8=2,0,IF(Year1!H8=3,0,IF(Year1!H8=4,0,(Year5!E155*Year5!G159)))))</f>
        <v>0</v>
      </c>
    </row>
    <row r="160" spans="1:8" x14ac:dyDescent="0.2">
      <c r="A160" s="5"/>
      <c r="B160" s="22" t="s">
        <v>502</v>
      </c>
      <c r="C160" s="22"/>
      <c r="D160" s="425">
        <f>LOOKUP($B$8,Grid!$E$230:$E$325,Grid!$K$230:$K$325)</f>
        <v>10202</v>
      </c>
      <c r="E160" s="113"/>
      <c r="F160" s="425">
        <f>LOOKUP($B$8,Grid!$E$230:$E$325,Grid!$L$230:$L$325)</f>
        <v>10202</v>
      </c>
      <c r="G160" s="26">
        <f>ROUND(D160+F160,0)</f>
        <v>20404</v>
      </c>
      <c r="H160" s="25">
        <f>IF(Year1!H8=1,0,IF(Year1!H8=2,0,IF(Year1!H8=3,0,IF(Year1!H8=4,0,(Year5!E156*Year5!G160)))))</f>
        <v>0</v>
      </c>
    </row>
    <row r="161" spans="1:8" x14ac:dyDescent="0.2">
      <c r="A161" s="5"/>
      <c r="B161" s="22" t="s">
        <v>503</v>
      </c>
      <c r="C161" s="22"/>
      <c r="D161" s="425">
        <f>LOOKUP($B$8,Grid!$E$230:$E$325,Grid!$M$230:$M$325)</f>
        <v>9554</v>
      </c>
      <c r="E161" s="113"/>
      <c r="F161" s="425">
        <f>LOOKUP($B$8,Grid!$E$230:$E$325,Grid!$N$230:$N$325)</f>
        <v>9554</v>
      </c>
      <c r="G161" s="26">
        <f>ROUND(D161+F161,0)</f>
        <v>19108</v>
      </c>
      <c r="H161" s="25">
        <f>IF(Year1!H8=1,0,IF(Year1!H8=2,0,IF(Year1!H8=3,0,IF(Year1!H8=4,0,(Year5!E156*Year5!G161)))))</f>
        <v>0</v>
      </c>
    </row>
    <row r="162" spans="1:8" x14ac:dyDescent="0.2">
      <c r="A162" s="5"/>
      <c r="B162" s="6" t="s">
        <v>690</v>
      </c>
      <c r="C162" s="6"/>
      <c r="D162" s="6"/>
      <c r="E162" s="430" t="s">
        <v>20</v>
      </c>
      <c r="F162" s="431">
        <f>VLOOKUP(B8,Grid2!F60:G137,2,FALSE)</f>
        <v>7.7000000000000002E-3</v>
      </c>
      <c r="G162" s="246">
        <f>IF(OR(D10="Non-Federal"),(H149-F148-H81-H89-H90-H91)*(F162),H149*0)</f>
        <v>0</v>
      </c>
      <c r="H162" s="11">
        <f>IF(Year1!$H$8=1,0,IF(Year1!$H$8=2,0,IF(Year1!$H$8=3,0,IF(Year1!$H$8=4,0,G162))))</f>
        <v>0</v>
      </c>
    </row>
    <row r="163" spans="1:8" x14ac:dyDescent="0.2">
      <c r="A163" s="5"/>
      <c r="B163" s="6" t="s">
        <v>797</v>
      </c>
      <c r="C163" s="22"/>
      <c r="D163" s="204"/>
      <c r="E163" s="113"/>
      <c r="F163" s="204"/>
      <c r="G163" s="465">
        <f>LOOKUP($B$8,Grid!$E$142:$E$225,Grid!$J$142:$J$225)</f>
        <v>2.3E-2</v>
      </c>
      <c r="H163" s="25">
        <f>ROUND((H89+H81+H90+H91)*G163,0)</f>
        <v>0</v>
      </c>
    </row>
    <row r="164" spans="1:8" x14ac:dyDescent="0.2">
      <c r="A164" s="5"/>
      <c r="B164" s="22" t="s">
        <v>22</v>
      </c>
      <c r="C164" s="22"/>
      <c r="D164" s="22"/>
      <c r="E164" s="22"/>
      <c r="F164" s="22"/>
      <c r="G164" s="465">
        <f>LOOKUP($B$8,Grid!$E$142:$E$225,Grid!$I$142:$I$225)</f>
        <v>0.153</v>
      </c>
      <c r="H164" s="25">
        <f>ROUND((F148)*G164,0)</f>
        <v>0</v>
      </c>
    </row>
    <row r="165" spans="1:8" x14ac:dyDescent="0.2">
      <c r="A165" s="5"/>
      <c r="B165" s="22" t="s">
        <v>514</v>
      </c>
      <c r="C165" s="22"/>
      <c r="D165" s="22"/>
      <c r="E165" s="22"/>
      <c r="F165" s="22"/>
      <c r="G165" s="465">
        <f>LOOKUP($B$8,Grid!$E$142:$E$225,Grid!$G$142:$G$225)</f>
        <v>0.36799999999999999</v>
      </c>
      <c r="H165" s="25">
        <f>ROUND((H84+H85+H87+H88)*G165,0)</f>
        <v>0</v>
      </c>
    </row>
    <row r="166" spans="1:8" x14ac:dyDescent="0.2">
      <c r="A166" s="5"/>
      <c r="B166" s="6" t="s">
        <v>1302</v>
      </c>
      <c r="C166" s="22"/>
      <c r="D166" s="22"/>
      <c r="E166" s="22"/>
      <c r="F166" s="22"/>
      <c r="G166" s="465">
        <f>LOOKUP($B$8,Grid!$E$142:$E$225,Grid!$G$142:$G$225)</f>
        <v>0.36799999999999999</v>
      </c>
      <c r="H166" s="25">
        <f>ROUND((H97+H98)*G166,0)</f>
        <v>0</v>
      </c>
    </row>
    <row r="167" spans="1:8" ht="13.5" thickBot="1" x14ac:dyDescent="0.25">
      <c r="A167" s="5"/>
      <c r="B167" s="22" t="s">
        <v>107</v>
      </c>
      <c r="C167" s="22"/>
      <c r="D167" s="22"/>
      <c r="E167" s="22"/>
      <c r="F167" s="22"/>
      <c r="G167" s="465">
        <f>LOOKUP($B$8,Grid!$E$142:$E$225,Grid!$H$142:$H$225)</f>
        <v>0.44800000000000001</v>
      </c>
      <c r="H167" s="25">
        <f>ROUND(SUM(H92:H96)*G167,0)</f>
        <v>0</v>
      </c>
    </row>
    <row r="168" spans="1:8" ht="13.5" thickBot="1" x14ac:dyDescent="0.25">
      <c r="A168" s="295" t="s">
        <v>135</v>
      </c>
      <c r="B168" s="256"/>
      <c r="C168" s="256"/>
      <c r="D168" s="256"/>
      <c r="E168" s="256"/>
      <c r="F168" s="256"/>
      <c r="G168" s="316"/>
      <c r="H168" s="313">
        <f>IF(Year1!H8=1,0,IF(Year1!H8=2,0,IF(Year1!H8=3,0,IF(Year1!H8=4,0,SUM(H151:H167)))))</f>
        <v>0</v>
      </c>
    </row>
    <row r="169" spans="1:8" ht="13.5" thickBot="1" x14ac:dyDescent="0.25">
      <c r="A169" s="292" t="s">
        <v>34</v>
      </c>
      <c r="B169" s="234"/>
      <c r="C169" s="234"/>
      <c r="D169" s="234"/>
      <c r="E169" s="234"/>
      <c r="F169" s="234"/>
      <c r="G169" s="234"/>
      <c r="H169" s="293">
        <f>H168+H149</f>
        <v>0</v>
      </c>
    </row>
    <row r="170" spans="1:8" x14ac:dyDescent="0.2">
      <c r="A170" s="224" t="s">
        <v>1</v>
      </c>
      <c r="B170" s="225"/>
      <c r="C170" s="230">
        <f>Year1!C6</f>
        <v>0</v>
      </c>
      <c r="D170" s="230"/>
      <c r="E170" s="230"/>
      <c r="F170" s="230"/>
      <c r="G170" s="230"/>
      <c r="H170" s="225"/>
    </row>
    <row r="171" spans="1:8" x14ac:dyDescent="0.2">
      <c r="A171" s="224" t="s">
        <v>2</v>
      </c>
      <c r="B171" s="317">
        <f>Year1!B7</f>
        <v>0</v>
      </c>
      <c r="C171" s="230"/>
      <c r="D171" s="230"/>
      <c r="E171" s="230"/>
      <c r="F171" s="230"/>
      <c r="G171" s="230"/>
      <c r="H171" s="229"/>
    </row>
    <row r="172" spans="1:8" x14ac:dyDescent="0.2">
      <c r="A172" s="224" t="str">
        <f>A8</f>
        <v>Year 5:</v>
      </c>
      <c r="B172" s="310">
        <f>B8</f>
        <v>47665</v>
      </c>
      <c r="C172" s="228" t="str">
        <f>C8</f>
        <v>through</v>
      </c>
      <c r="D172" s="310">
        <f>D8</f>
        <v>48029</v>
      </c>
      <c r="E172" s="227"/>
      <c r="F172" s="227"/>
      <c r="G172" s="227"/>
      <c r="H172" s="225"/>
    </row>
    <row r="173" spans="1:8" x14ac:dyDescent="0.2">
      <c r="A173" s="4" t="s">
        <v>23</v>
      </c>
      <c r="B173" s="27" t="s">
        <v>211</v>
      </c>
      <c r="C173" s="19"/>
      <c r="H173" s="17"/>
    </row>
    <row r="174" spans="1:8" x14ac:dyDescent="0.2">
      <c r="B174" s="6"/>
      <c r="C174" s="15" t="s">
        <v>24</v>
      </c>
      <c r="D174" s="15"/>
      <c r="E174" s="218">
        <v>0</v>
      </c>
      <c r="F174" s="15" t="s">
        <v>32</v>
      </c>
      <c r="G174" s="219">
        <v>3</v>
      </c>
      <c r="H174" s="57" t="s">
        <v>8</v>
      </c>
    </row>
    <row r="175" spans="1:8" x14ac:dyDescent="0.2">
      <c r="A175" s="5"/>
      <c r="C175" s="22"/>
      <c r="D175" s="22"/>
      <c r="E175" s="13" t="s">
        <v>25</v>
      </c>
      <c r="F175" s="13"/>
      <c r="G175" s="220">
        <v>0</v>
      </c>
      <c r="H175" s="25">
        <f>((G174*(C178+C179)+G177+G178+C177)*E174)*G175</f>
        <v>0</v>
      </c>
    </row>
    <row r="176" spans="1:8" x14ac:dyDescent="0.2">
      <c r="A176" s="5"/>
      <c r="B176" s="22"/>
      <c r="C176" s="22"/>
      <c r="D176" s="22"/>
      <c r="E176" s="13" t="s">
        <v>26</v>
      </c>
      <c r="F176" s="13"/>
      <c r="G176" s="220">
        <v>0</v>
      </c>
      <c r="H176" s="25">
        <f>((G174*(C178+C179)+G177+G179+C177)*E174)*G176</f>
        <v>0</v>
      </c>
    </row>
    <row r="177" spans="1:8" x14ac:dyDescent="0.2">
      <c r="A177" s="5"/>
      <c r="B177" s="13" t="s">
        <v>27</v>
      </c>
      <c r="C177" s="44">
        <v>600</v>
      </c>
      <c r="D177" s="44"/>
      <c r="E177" s="13" t="s">
        <v>75</v>
      </c>
      <c r="F177" s="22"/>
      <c r="G177" s="42">
        <v>75</v>
      </c>
      <c r="H177" s="21">
        <f>IF(Year1!H8=1,0,IF(Year1!H8=2,0,IF(Year1!H8=3,0,IF(Year1!H8=4,0,H175+H176))))</f>
        <v>0</v>
      </c>
    </row>
    <row r="178" spans="1:8" x14ac:dyDescent="0.2">
      <c r="A178" s="5"/>
      <c r="B178" s="13" t="s">
        <v>28</v>
      </c>
      <c r="C178" s="43">
        <v>92</v>
      </c>
      <c r="D178" s="43"/>
      <c r="E178" s="13" t="s">
        <v>30</v>
      </c>
      <c r="F178" s="22"/>
      <c r="G178" s="43">
        <v>650</v>
      </c>
      <c r="H178" s="28"/>
    </row>
    <row r="179" spans="1:8" x14ac:dyDescent="0.2">
      <c r="A179" s="20"/>
      <c r="B179" s="78" t="s">
        <v>29</v>
      </c>
      <c r="C179" s="79">
        <v>225</v>
      </c>
      <c r="D179" s="79"/>
      <c r="E179" s="78" t="s">
        <v>31</v>
      </c>
      <c r="F179" s="29"/>
      <c r="G179" s="79">
        <v>550</v>
      </c>
      <c r="H179" s="30"/>
    </row>
    <row r="180" spans="1:8" x14ac:dyDescent="0.2">
      <c r="A180" s="5"/>
      <c r="B180" s="27" t="s">
        <v>205</v>
      </c>
      <c r="C180" s="43"/>
      <c r="D180" s="43"/>
      <c r="E180" s="13"/>
      <c r="F180" s="22"/>
      <c r="G180" s="43"/>
      <c r="H180" s="28"/>
    </row>
    <row r="181" spans="1:8" x14ac:dyDescent="0.2">
      <c r="A181" s="5"/>
      <c r="B181" s="22"/>
      <c r="C181" s="15" t="s">
        <v>24</v>
      </c>
      <c r="D181" s="15"/>
      <c r="E181" s="218">
        <v>0</v>
      </c>
      <c r="F181" s="15" t="s">
        <v>32</v>
      </c>
      <c r="G181" s="219">
        <v>5</v>
      </c>
      <c r="H181" s="28"/>
    </row>
    <row r="182" spans="1:8" x14ac:dyDescent="0.2">
      <c r="A182" s="5"/>
      <c r="B182" s="13" t="s">
        <v>27</v>
      </c>
      <c r="C182" s="44">
        <v>1000</v>
      </c>
      <c r="D182" s="22"/>
      <c r="E182" s="13" t="s">
        <v>25</v>
      </c>
      <c r="F182" s="13"/>
      <c r="G182" s="220">
        <v>0</v>
      </c>
      <c r="H182" s="25">
        <f>((G181*(C183)+G184+C184+C182)*E181)*G182</f>
        <v>0</v>
      </c>
    </row>
    <row r="183" spans="1:8" x14ac:dyDescent="0.2">
      <c r="A183" s="5"/>
      <c r="B183" s="13" t="s">
        <v>33</v>
      </c>
      <c r="C183" s="43">
        <v>295</v>
      </c>
      <c r="D183" s="44"/>
      <c r="E183" s="13" t="s">
        <v>26</v>
      </c>
      <c r="F183" s="13"/>
      <c r="G183" s="220">
        <v>0</v>
      </c>
      <c r="H183" s="25">
        <f>((G181*(C183)+C184+G185+C182)*E181)*G183</f>
        <v>0</v>
      </c>
    </row>
    <row r="184" spans="1:8" x14ac:dyDescent="0.2">
      <c r="A184" s="5"/>
      <c r="B184" s="13" t="s">
        <v>206</v>
      </c>
      <c r="C184" s="42">
        <v>75</v>
      </c>
      <c r="D184" s="43"/>
      <c r="E184" s="13" t="s">
        <v>30</v>
      </c>
      <c r="F184" s="22"/>
      <c r="G184" s="43">
        <v>650</v>
      </c>
      <c r="H184" s="21">
        <f>IF(Year1!H8=1,0,IF(Year1!H8=2,0,IF(Year1!H8=3,0,IF(Year1!H8=4,0,H182+H183))))</f>
        <v>0</v>
      </c>
    </row>
    <row r="185" spans="1:8" ht="13.5" thickBot="1" x14ac:dyDescent="0.25">
      <c r="A185" s="80"/>
      <c r="B185" s="81"/>
      <c r="C185" s="81"/>
      <c r="D185" s="81"/>
      <c r="E185" s="82" t="s">
        <v>31</v>
      </c>
      <c r="F185" s="81"/>
      <c r="G185" s="83">
        <v>550</v>
      </c>
      <c r="H185" s="84"/>
    </row>
    <row r="186" spans="1:8" x14ac:dyDescent="0.2">
      <c r="A186" s="294" t="s">
        <v>45</v>
      </c>
      <c r="B186" s="225"/>
      <c r="C186" s="225"/>
      <c r="D186" s="225"/>
      <c r="E186" s="254"/>
      <c r="F186" s="225"/>
      <c r="G186" s="225"/>
      <c r="H186" s="312">
        <f>H177+H184</f>
        <v>0</v>
      </c>
    </row>
    <row r="187" spans="1:8" x14ac:dyDescent="0.2">
      <c r="A187" s="3" t="s">
        <v>35</v>
      </c>
      <c r="B187" s="2"/>
      <c r="C187" s="16" t="s">
        <v>73</v>
      </c>
      <c r="D187" s="16"/>
      <c r="E187" s="2"/>
      <c r="F187" s="2" t="s">
        <v>36</v>
      </c>
      <c r="G187" s="2"/>
      <c r="H187" s="18"/>
    </row>
    <row r="188" spans="1:8" x14ac:dyDescent="0.2">
      <c r="A188" s="5"/>
      <c r="B188" s="15">
        <v>1</v>
      </c>
      <c r="C188" s="221"/>
      <c r="D188" s="221"/>
      <c r="E188" s="221"/>
      <c r="F188" s="222"/>
      <c r="H188" s="17"/>
    </row>
    <row r="189" spans="1:8" x14ac:dyDescent="0.2">
      <c r="A189" s="5"/>
      <c r="B189" s="15">
        <v>2</v>
      </c>
      <c r="C189" s="221"/>
      <c r="D189" s="221"/>
      <c r="E189" s="221"/>
      <c r="F189" s="222">
        <v>0</v>
      </c>
      <c r="H189" s="17"/>
    </row>
    <row r="190" spans="1:8" ht="13.5" thickBot="1" x14ac:dyDescent="0.25">
      <c r="A190" s="5"/>
      <c r="B190" s="15">
        <v>3</v>
      </c>
      <c r="C190" s="221"/>
      <c r="D190" s="221"/>
      <c r="E190" s="221"/>
      <c r="F190" s="222">
        <v>0</v>
      </c>
      <c r="H190" s="17"/>
    </row>
    <row r="191" spans="1:8" x14ac:dyDescent="0.2">
      <c r="A191" s="295" t="s">
        <v>46</v>
      </c>
      <c r="B191" s="256"/>
      <c r="C191" s="256"/>
      <c r="D191" s="256"/>
      <c r="E191" s="256"/>
      <c r="F191" s="256"/>
      <c r="G191" s="256" t="s">
        <v>9</v>
      </c>
      <c r="H191" s="313">
        <f>IF(Year1!H8=1,0,IF(Year1!H8=2,0,IF(Year1!H8=3,0,IF(Year1!H8=4,0,SUM(F188:F190)))))</f>
        <v>0</v>
      </c>
    </row>
    <row r="192" spans="1:8" x14ac:dyDescent="0.2">
      <c r="A192" s="3" t="s">
        <v>37</v>
      </c>
      <c r="B192" s="2"/>
      <c r="C192" s="2"/>
      <c r="D192" s="2"/>
      <c r="E192" s="2" t="s">
        <v>42</v>
      </c>
      <c r="F192" s="2" t="s">
        <v>36</v>
      </c>
      <c r="G192" s="469"/>
      <c r="H192" s="18"/>
    </row>
    <row r="193" spans="1:8" x14ac:dyDescent="0.2">
      <c r="A193" s="5"/>
      <c r="C193" s="13" t="s">
        <v>1195</v>
      </c>
      <c r="D193" s="13"/>
      <c r="E193" s="218">
        <v>0</v>
      </c>
      <c r="F193" s="223">
        <v>0</v>
      </c>
      <c r="G193" s="6"/>
      <c r="H193" s="11">
        <f>IF(Year1!H8=1,0,IF(Year1!H8=2,0,IF(Year1!H8=3,0,IF(Year1!H8=4,0,E193*F193))))</f>
        <v>0</v>
      </c>
    </row>
    <row r="194" spans="1:8" x14ac:dyDescent="0.2">
      <c r="A194" s="5"/>
      <c r="C194" s="13" t="s">
        <v>1192</v>
      </c>
      <c r="D194" s="13"/>
      <c r="E194" s="218">
        <v>0</v>
      </c>
      <c r="F194" s="223">
        <v>0</v>
      </c>
      <c r="G194" s="6"/>
      <c r="H194" s="11">
        <f>IF(Year1!H9=1,0,IF(Year1!H9=2,0,IF(Year1!H9=3,0,IF(Year1!H9=4,0,E194*F194))))</f>
        <v>0</v>
      </c>
    </row>
    <row r="195" spans="1:8" x14ac:dyDescent="0.2">
      <c r="A195" s="5"/>
      <c r="C195" s="13" t="s">
        <v>1193</v>
      </c>
      <c r="D195" s="13"/>
      <c r="E195" s="218">
        <v>0</v>
      </c>
      <c r="F195" s="223">
        <v>0</v>
      </c>
      <c r="G195" s="6"/>
      <c r="H195" s="11">
        <f>IF(Year1!H10=1,0,IF(Year1!H10=2,0,IF(Year1!H10=3,0,IF(Year1!H10=4,0,E195*F195))))</f>
        <v>0</v>
      </c>
    </row>
    <row r="196" spans="1:8" x14ac:dyDescent="0.2">
      <c r="A196" s="5"/>
      <c r="C196" s="13" t="s">
        <v>1194</v>
      </c>
      <c r="D196" s="13"/>
      <c r="E196" s="218">
        <v>0</v>
      </c>
      <c r="F196" s="223">
        <v>0</v>
      </c>
      <c r="G196" s="6"/>
      <c r="H196" s="11">
        <f>IF(Year1!H11=1,0,IF(Year1!H11=2,0,IF(Year1!H11=3,0,IF(Year1!H11=4,0,E196*F196))))</f>
        <v>0</v>
      </c>
    </row>
    <row r="197" spans="1:8" x14ac:dyDescent="0.2">
      <c r="A197" s="5"/>
      <c r="B197" s="6" t="s">
        <v>38</v>
      </c>
      <c r="C197" s="6"/>
      <c r="D197" s="13"/>
      <c r="E197" s="105"/>
      <c r="F197" s="41"/>
      <c r="G197" s="6"/>
      <c r="H197" s="11"/>
    </row>
    <row r="198" spans="1:8" x14ac:dyDescent="0.2">
      <c r="A198" s="5"/>
      <c r="C198" s="6" t="s">
        <v>90</v>
      </c>
      <c r="D198" s="6"/>
      <c r="E198" s="213">
        <v>0</v>
      </c>
      <c r="F198" s="41">
        <f>Year1!F198</f>
        <v>3740.14</v>
      </c>
      <c r="G198" s="6"/>
      <c r="H198" s="11">
        <f>IF(Year1!H8=1,0,IF(Year1!H8=2,0,IF(Year1!H8=3,0,IF(Year1!H8=4,0,E198*F198))))</f>
        <v>0</v>
      </c>
    </row>
    <row r="199" spans="1:8" x14ac:dyDescent="0.2">
      <c r="A199" s="5"/>
      <c r="C199" s="6" t="s">
        <v>39</v>
      </c>
      <c r="D199" s="6"/>
      <c r="E199" s="213">
        <f>Year1!E199</f>
        <v>0</v>
      </c>
      <c r="F199" s="41">
        <f>Year1!F199</f>
        <v>2940</v>
      </c>
      <c r="G199" s="6"/>
      <c r="H199" s="11">
        <f>IF(Year1!H8=1,0,IF(Year1!H8=2,0,IF(Year1!H8=3,0,IF(Year1!H8=4,0,E199*F199))))</f>
        <v>0</v>
      </c>
    </row>
    <row r="200" spans="1:8" x14ac:dyDescent="0.2">
      <c r="A200" s="5"/>
      <c r="C200" s="6" t="s">
        <v>260</v>
      </c>
      <c r="D200" s="6"/>
      <c r="E200" s="213">
        <f>Year1!E200</f>
        <v>0</v>
      </c>
      <c r="F200" s="41">
        <f>Year1!F200</f>
        <v>990</v>
      </c>
      <c r="G200" s="6"/>
      <c r="H200" s="11">
        <f>IF(Year1!H8=1,0,IF(Year1!H8=2,0,IF(Year1!H8=3,0,IF(Year1!H8=4,0,E200*F200))))</f>
        <v>0</v>
      </c>
    </row>
    <row r="201" spans="1:8" x14ac:dyDescent="0.2">
      <c r="A201" s="5"/>
      <c r="C201" s="6" t="s">
        <v>40</v>
      </c>
      <c r="D201" s="6"/>
      <c r="E201" s="213">
        <f>Year1!E201</f>
        <v>0</v>
      </c>
      <c r="F201" s="41">
        <f>Year1!F201</f>
        <v>105</v>
      </c>
      <c r="G201" s="213">
        <f>Year1!G201</f>
        <v>12</v>
      </c>
      <c r="H201" s="11">
        <f>IF(Year1!H8=1,0,IF(Year1!H8=2,0,IF(Year1!H8=3,0,IF(Year1!H8=4,0,E201*F201*G201))))</f>
        <v>0</v>
      </c>
    </row>
    <row r="202" spans="1:8" x14ac:dyDescent="0.2">
      <c r="A202" s="5"/>
      <c r="C202" s="6" t="s">
        <v>41</v>
      </c>
      <c r="D202" s="6"/>
      <c r="E202" s="213">
        <f>Year1!E202</f>
        <v>0</v>
      </c>
      <c r="F202" s="41">
        <f>Year1!F202</f>
        <v>5</v>
      </c>
      <c r="G202" s="213">
        <f>Year1!G202</f>
        <v>12</v>
      </c>
      <c r="H202" s="11">
        <f>IF(Year1!H8=1,0,IF(Year1!H8=2,0,IF(Year1!H8=3,0,IF(Year1!H8=4,0,E202*F202*G202))))</f>
        <v>0</v>
      </c>
    </row>
    <row r="203" spans="1:8" x14ac:dyDescent="0.2">
      <c r="A203" s="5"/>
      <c r="C203" s="6" t="s">
        <v>259</v>
      </c>
      <c r="D203" s="6"/>
      <c r="E203" s="213">
        <f>Year1!E203</f>
        <v>0</v>
      </c>
      <c r="F203" s="41">
        <f>Year1!F203</f>
        <v>10</v>
      </c>
      <c r="G203" s="213">
        <f>Year1!G203</f>
        <v>12</v>
      </c>
      <c r="H203" s="11">
        <f>IF(Year1!H8=1,0,IF(Year1!H8=2,0,IF(Year1!H8=3,0,IF(Year1!H8=4,0,E203*F203*G203))))</f>
        <v>0</v>
      </c>
    </row>
    <row r="204" spans="1:8" x14ac:dyDescent="0.2">
      <c r="A204" s="5"/>
      <c r="B204" s="6" t="s">
        <v>1141</v>
      </c>
      <c r="C204" s="6"/>
      <c r="D204" s="6"/>
      <c r="E204" s="213">
        <v>0</v>
      </c>
      <c r="F204" s="41">
        <v>94</v>
      </c>
      <c r="G204" s="213">
        <f>Year1!G204</f>
        <v>12</v>
      </c>
      <c r="H204" s="11">
        <f>IF(Year1!H8=1,0,IF(Year1!H8=2,0,IF(Year1!H8=3,0,IF(Year1!H8=4,0,E204*F204*G204))))</f>
        <v>0</v>
      </c>
    </row>
    <row r="205" spans="1:8" x14ac:dyDescent="0.2">
      <c r="A205" s="5"/>
      <c r="B205" s="6" t="s">
        <v>1142</v>
      </c>
      <c r="C205" s="6"/>
      <c r="D205" s="6"/>
      <c r="E205" s="6"/>
      <c r="F205" s="31"/>
      <c r="G205" s="6"/>
      <c r="H205" s="56"/>
    </row>
    <row r="206" spans="1:8" x14ac:dyDescent="0.2">
      <c r="A206" s="5"/>
      <c r="C206" s="6" t="s">
        <v>209</v>
      </c>
      <c r="D206" s="6"/>
      <c r="E206" s="213">
        <v>0</v>
      </c>
      <c r="F206" s="41">
        <f>Year1!F206</f>
        <v>1500</v>
      </c>
      <c r="G206" s="213">
        <f>Year1!G206</f>
        <v>12</v>
      </c>
      <c r="H206" s="11">
        <f>IF(Year1!H8=1,0,IF(Year1!H8=2,0,IF(Year1!H8=3,0,IF(Year1!H8=4,0,E206*F206*G206))))</f>
        <v>0</v>
      </c>
    </row>
    <row r="207" spans="1:8" x14ac:dyDescent="0.2">
      <c r="A207" s="5"/>
      <c r="C207" s="6" t="s">
        <v>210</v>
      </c>
      <c r="D207" s="6"/>
      <c r="E207" s="213">
        <v>0</v>
      </c>
      <c r="F207" s="41">
        <f>Year1!F207</f>
        <v>1600</v>
      </c>
      <c r="G207" s="213">
        <f>Year1!G207</f>
        <v>12</v>
      </c>
      <c r="H207" s="11">
        <f>IF(Year1!H8=1,0,IF(Year1!H8=2,0,IF(Year1!H8=3,0,IF(Year1!H8=4,0,E207*F207*G207))))</f>
        <v>0</v>
      </c>
    </row>
    <row r="208" spans="1:8" x14ac:dyDescent="0.2">
      <c r="A208" s="5"/>
      <c r="B208" s="6" t="s">
        <v>649</v>
      </c>
      <c r="C208" s="6"/>
      <c r="D208" s="6"/>
      <c r="E208" s="6"/>
      <c r="F208" s="195" t="s">
        <v>650</v>
      </c>
      <c r="G208" s="415">
        <f>IF(OR(D10="Non-Federal"),H149*0.0205,H149*0)</f>
        <v>0</v>
      </c>
      <c r="H208" s="11">
        <f>IF(Year1!$H$8=1,0,IF(Year1!$H$8=2,0,IF(Year1!$H$8=3,0,IF(Year1!$H$8=4,0,G208))))</f>
        <v>0</v>
      </c>
    </row>
    <row r="209" spans="1:11" x14ac:dyDescent="0.2">
      <c r="B209" s="6" t="s">
        <v>1196</v>
      </c>
      <c r="G209" s="221">
        <v>0</v>
      </c>
      <c r="H209" s="11">
        <f>IF(Year1!$H$8=1,0,IF(Year1!$H$8=2,0,IF(Year1!$H$8=3,0,IF(Year1!$H$8=4,0,G209))))</f>
        <v>0</v>
      </c>
    </row>
    <row r="210" spans="1:11" x14ac:dyDescent="0.2">
      <c r="A210" s="5"/>
      <c r="B210" s="6" t="s">
        <v>236</v>
      </c>
      <c r="C210" s="6"/>
      <c r="D210" s="6"/>
      <c r="E210" s="6"/>
      <c r="F210" s="195" t="s">
        <v>650</v>
      </c>
      <c r="G210" s="213">
        <v>0</v>
      </c>
      <c r="H210" s="11">
        <f>IF(Year1!$H$8=1,0,IF(Year1!$H$8=2,0,IF(Year1!$H$8=3,0,IF(Year1!$H$8=4,0,G210))))</f>
        <v>0</v>
      </c>
    </row>
    <row r="211" spans="1:11" x14ac:dyDescent="0.2">
      <c r="A211" s="5"/>
      <c r="B211" t="s">
        <v>261</v>
      </c>
      <c r="C211" s="6"/>
      <c r="D211" s="6"/>
      <c r="E211" s="6"/>
      <c r="F211" s="195" t="s">
        <v>650</v>
      </c>
      <c r="G211" s="213">
        <v>0</v>
      </c>
      <c r="H211" s="11">
        <f>IF(Year1!$H$8=1,0,IF(Year1!$H$8=2,0,IF(Year1!$H$8=3,0,IF(Year1!$H$8=4,0,G211))))</f>
        <v>0</v>
      </c>
    </row>
    <row r="212" spans="1:11" x14ac:dyDescent="0.2">
      <c r="A212" s="249" t="s">
        <v>424</v>
      </c>
      <c r="B212" s="6" t="s">
        <v>43</v>
      </c>
      <c r="C212" s="6"/>
      <c r="D212" s="6"/>
      <c r="E212" s="196" t="s">
        <v>650</v>
      </c>
      <c r="F212" s="247">
        <v>0</v>
      </c>
      <c r="G212" s="248">
        <f>Year1!G212</f>
        <v>12</v>
      </c>
      <c r="H212" s="11">
        <f>F212*G212</f>
        <v>0</v>
      </c>
    </row>
    <row r="213" spans="1:11" ht="13.5" thickBot="1" x14ac:dyDescent="0.25">
      <c r="A213" s="249" t="s">
        <v>418</v>
      </c>
      <c r="B213" s="6" t="s">
        <v>44</v>
      </c>
      <c r="C213" s="6"/>
      <c r="D213" s="6"/>
      <c r="E213" s="6"/>
      <c r="F213" s="6"/>
      <c r="G213" s="6"/>
      <c r="H213" s="56"/>
    </row>
    <row r="214" spans="1:11" ht="13.5" thickBot="1" x14ac:dyDescent="0.25">
      <c r="A214" s="292" t="s">
        <v>47</v>
      </c>
      <c r="B214" s="234"/>
      <c r="C214" s="234"/>
      <c r="D214" s="234"/>
      <c r="E214" s="234"/>
      <c r="F214" s="234"/>
      <c r="G214" s="234"/>
      <c r="H214" s="293">
        <f>SUM(H193:H213)</f>
        <v>0</v>
      </c>
    </row>
    <row r="215" spans="1:11" ht="13.5" thickBot="1" x14ac:dyDescent="0.25">
      <c r="A215" s="4" t="s">
        <v>49</v>
      </c>
      <c r="B215" s="494" t="s">
        <v>1197</v>
      </c>
      <c r="C215" s="234"/>
      <c r="D215" s="234"/>
      <c r="E215" s="234"/>
      <c r="F215" s="234"/>
      <c r="G215" s="234"/>
      <c r="H215" s="234"/>
    </row>
    <row r="216" spans="1:11" x14ac:dyDescent="0.2">
      <c r="A216" s="4"/>
      <c r="B216" s="330" t="str">
        <f>Year1!$B$216</f>
        <v>Yes</v>
      </c>
      <c r="C216" s="480">
        <f>Year1!C216</f>
        <v>0</v>
      </c>
      <c r="D216" s="6"/>
      <c r="E216" s="6"/>
      <c r="F216" s="214"/>
      <c r="G216" s="6"/>
      <c r="H216" s="10"/>
    </row>
    <row r="217" spans="1:11" x14ac:dyDescent="0.2">
      <c r="A217" s="4"/>
      <c r="B217" s="330" t="str">
        <f>Year1!$B$217</f>
        <v>Yes</v>
      </c>
      <c r="C217" s="472">
        <f>Year1!C217</f>
        <v>0</v>
      </c>
      <c r="D217" s="6"/>
      <c r="E217" s="6"/>
      <c r="F217" s="214"/>
      <c r="G217" s="6"/>
      <c r="H217" s="10"/>
      <c r="K217" s="12"/>
    </row>
    <row r="218" spans="1:11" x14ac:dyDescent="0.2">
      <c r="A218" s="4"/>
      <c r="B218" s="330" t="str">
        <f>Year1!$B$218</f>
        <v>No</v>
      </c>
      <c r="C218" s="472">
        <f>Year1!C218</f>
        <v>0</v>
      </c>
      <c r="D218" s="6"/>
      <c r="E218" s="6"/>
      <c r="F218" s="214"/>
      <c r="G218" s="6"/>
      <c r="H218" s="10"/>
      <c r="K218" s="12"/>
    </row>
    <row r="219" spans="1:11" x14ac:dyDescent="0.2">
      <c r="A219" s="4"/>
      <c r="B219" s="330" t="str">
        <f>Year1!$B$219</f>
        <v>No</v>
      </c>
      <c r="C219" s="472">
        <f>Year1!C219</f>
        <v>0</v>
      </c>
      <c r="D219" s="6"/>
      <c r="E219" s="6"/>
      <c r="F219" s="214"/>
      <c r="G219" s="6"/>
      <c r="H219" s="10"/>
      <c r="K219" s="12"/>
    </row>
    <row r="220" spans="1:11" ht="13.5" thickBot="1" x14ac:dyDescent="0.25">
      <c r="A220" s="4"/>
      <c r="B220" s="330" t="str">
        <f>Year1!$B$220</f>
        <v>No</v>
      </c>
      <c r="C220" s="481">
        <f>Year1!C220</f>
        <v>0</v>
      </c>
      <c r="D220" s="6"/>
      <c r="E220" s="6"/>
      <c r="F220" s="214"/>
      <c r="G220" s="6"/>
      <c r="H220" s="10"/>
      <c r="K220" s="12"/>
    </row>
    <row r="221" spans="1:11" x14ac:dyDescent="0.2">
      <c r="A221" s="255" t="s">
        <v>50</v>
      </c>
      <c r="B221" s="256"/>
      <c r="C221" s="256"/>
      <c r="D221" s="256"/>
      <c r="E221" s="256"/>
      <c r="F221" s="256"/>
      <c r="G221" s="256"/>
      <c r="H221" s="257">
        <f>SUM(F216:F220)</f>
        <v>0</v>
      </c>
      <c r="K221" s="12"/>
    </row>
    <row r="222" spans="1:11" x14ac:dyDescent="0.2">
      <c r="A222" s="237" t="s">
        <v>48</v>
      </c>
      <c r="B222" s="258"/>
      <c r="C222" s="227"/>
      <c r="D222" s="227"/>
      <c r="E222" s="227"/>
      <c r="F222" s="227"/>
      <c r="G222" s="227"/>
      <c r="H222" s="259">
        <f>H221+H214+H191+H186+H169</f>
        <v>0</v>
      </c>
      <c r="J222" s="12"/>
    </row>
    <row r="223" spans="1:11" x14ac:dyDescent="0.2">
      <c r="A223" s="237" t="s">
        <v>154</v>
      </c>
      <c r="B223" s="225"/>
      <c r="C223" s="260" t="s">
        <v>807</v>
      </c>
      <c r="D223" s="225"/>
      <c r="E223" s="225"/>
      <c r="F223" s="261">
        <f>H222-(H202+H191)-SUM(H158:H161)-SUM(H193:H196)-H221</f>
        <v>0</v>
      </c>
      <c r="G223" s="225"/>
      <c r="H223" s="315"/>
    </row>
    <row r="224" spans="1:11" x14ac:dyDescent="0.2">
      <c r="A224" s="264" t="s">
        <v>808</v>
      </c>
      <c r="B224" s="265"/>
      <c r="C224" s="266">
        <f>F223*E224</f>
        <v>0</v>
      </c>
      <c r="D224" s="298">
        <f>LOOKUP(B8,Grid!E40:E129,Grid!I40:I129)</f>
        <v>0.60499999999999998</v>
      </c>
      <c r="E224" s="299">
        <f>LOOKUP(B8,Grid!E40:E129,Grid!G40:G129)</f>
        <v>1</v>
      </c>
      <c r="F224" s="284">
        <f>ROUND(F223*D224*E224,0)</f>
        <v>0</v>
      </c>
      <c r="G224" s="284">
        <f>F224+F225</f>
        <v>0</v>
      </c>
      <c r="H224" s="301" t="s">
        <v>628</v>
      </c>
    </row>
    <row r="225" spans="1:8" x14ac:dyDescent="0.2">
      <c r="A225" s="264"/>
      <c r="B225" s="265"/>
      <c r="C225" s="266">
        <f>F223*E225</f>
        <v>0</v>
      </c>
      <c r="D225" s="298">
        <f>LOOKUP(B8,Grid!E40:E129,Grid!J40:J129)</f>
        <v>0.60499999999999998</v>
      </c>
      <c r="E225" s="299">
        <f>LOOKUP(B8,Grid!E40:E129,Grid!H40:H129)</f>
        <v>0</v>
      </c>
      <c r="F225" s="284">
        <f>F223*D225*E225</f>
        <v>0</v>
      </c>
      <c r="G225" s="225"/>
      <c r="H225" s="259"/>
    </row>
    <row r="226" spans="1:8" x14ac:dyDescent="0.2">
      <c r="A226" s="274" t="s">
        <v>809</v>
      </c>
      <c r="B226" s="275"/>
      <c r="C226" s="266">
        <f>H222*E226</f>
        <v>0</v>
      </c>
      <c r="D226" s="276">
        <f>LOOKUP($B$8,Grid!$E$40:$E$129,Grid!$I$40:$I$129)</f>
        <v>0.60499999999999998</v>
      </c>
      <c r="E226" s="277">
        <f>LOOKUP($B$8,Grid!$E$40:$E$129,Grid!$G$40:$G$129)</f>
        <v>1</v>
      </c>
      <c r="F226" s="279">
        <f>ROUND($H$222*$D$226*$E$226,0)</f>
        <v>0</v>
      </c>
      <c r="G226" s="279">
        <f>F226+F227</f>
        <v>0</v>
      </c>
      <c r="H226" s="280" t="s">
        <v>9</v>
      </c>
    </row>
    <row r="227" spans="1:8" x14ac:dyDescent="0.2">
      <c r="A227" s="274"/>
      <c r="B227" s="275"/>
      <c r="C227" s="266">
        <f>H222*E227</f>
        <v>0</v>
      </c>
      <c r="D227" s="276">
        <f>LOOKUP($B$8,Grid!$E$40:$E$129,Grid!$J$40:$J$129)</f>
        <v>0.60499999999999998</v>
      </c>
      <c r="E227" s="277">
        <f>LOOKUP($B$8,Grid!$E$40:$E$129,Grid!$H$40:$H$129)</f>
        <v>0</v>
      </c>
      <c r="F227" s="279">
        <f>ROUND($H$222*$D$227*$E$227,0)</f>
        <v>0</v>
      </c>
      <c r="G227" s="275"/>
      <c r="H227" s="281"/>
    </row>
    <row r="228" spans="1:8" x14ac:dyDescent="0.2">
      <c r="A228" s="237" t="s">
        <v>804</v>
      </c>
      <c r="B228" s="225"/>
      <c r="C228" s="225"/>
      <c r="D228" s="282"/>
      <c r="E228" s="283"/>
      <c r="F228" s="284"/>
      <c r="G228" s="285" t="str">
        <f>IF($C$9=Reference!$A$5,Reference!$E$5,IF($C$9=Reference!$A$6,Reference!$E$6,IF($C$9=Reference!$A$7,Reference!$E$7,"")))</f>
        <v/>
      </c>
      <c r="H228" s="259">
        <f>IF((AND($C$10="Modified Total Direct Costs",$C$9=Reference!$A$5)),$F$223*Reference!$E$5,IF((AND($C$10="Modified Total Direct Costs",$C$9=Reference!$A$6)),$F$223*Reference!$E$6,IF((AND($C$10="Modified Total Direct Costs",$C$9=Reference!$A$7)),$F$223*Reference!$E$7,IF((AND($C$10="Modified Total Direct Costs",$C$9=Reference!$A$2)),$G$224,IF((AND($C$10="Modified Total Direct Costs",$C$9=Reference!$A$3)),$G$224,IF((AND($C$10="Modified Total Direct Costs",$C$9=Reference!$A$4)),$G$224,IF((AND($C$10="Total Direct Costs",$C$9=Reference!$A$2)),$G$226,IF((AND($C$10="Total Direct Costs",$C$9=Reference!$A$3)),$G$226,IF((AND($C$10="Total Direct Costs",$C$9=Reference!$A$4)),$G$226,IF((AND($C$10="Total Direct Costs",$C$9=Reference!$A$5)),$H$222*Reference!$E$5,IF((AND($C$10="Total Direct Costs",$C$9=Reference!$A$6)),$H$222*Reference!$E$6,IF((AND($C$10="Total Direct Costs",$C$9=Reference!$A$7)),$H$222*Reference!$E$7,IF((AND($C$10="Total Costs",$C$9=Reference!$A$7)),($H$222/(1-Reference!$E$7)*Reference!$E$7))))))))))))))</f>
        <v>0</v>
      </c>
    </row>
    <row r="229" spans="1:8" x14ac:dyDescent="0.2">
      <c r="A229" s="237"/>
      <c r="B229" s="225"/>
      <c r="C229" s="225"/>
      <c r="D229" s="286"/>
      <c r="E229" s="302"/>
      <c r="F229" s="307" t="s">
        <v>515</v>
      </c>
      <c r="G229" s="308">
        <f>IF(C9=Reference!A2,Reference!E2,IF(C9=Reference!A5,Reference!E5,IF(C9=Reference!A6,Reference!E6,IF(C9=Reference!A7,Reference!E7,IF(C9=Reference!A3,Reference!E3,IF(C9=Reference!A4,Reference!E4))))))</f>
        <v>0.60499999999999998</v>
      </c>
      <c r="H229" s="259"/>
    </row>
    <row r="230" spans="1:8" ht="13.5" thickBot="1" x14ac:dyDescent="0.25">
      <c r="A230" s="288"/>
      <c r="B230" s="225"/>
      <c r="C230" s="225"/>
      <c r="D230" s="225"/>
      <c r="E230" s="225" t="s">
        <v>155</v>
      </c>
      <c r="F230" s="225"/>
      <c r="G230" s="225"/>
      <c r="H230" s="259">
        <f>H222+H228</f>
        <v>0</v>
      </c>
    </row>
    <row r="231" spans="1:8" ht="13.5" thickBot="1" x14ac:dyDescent="0.25">
      <c r="A231" s="482"/>
      <c r="B231" s="252"/>
      <c r="C231" s="252"/>
      <c r="D231" s="252"/>
      <c r="E231" s="252"/>
      <c r="F231" s="252"/>
      <c r="G231" s="252"/>
      <c r="H231" s="253"/>
    </row>
    <row r="236" spans="1:8" x14ac:dyDescent="0.2">
      <c r="F236" s="6"/>
    </row>
  </sheetData>
  <sheetProtection selectLockedCells="1"/>
  <phoneticPr fontId="4" type="noConversion"/>
  <dataValidations count="3">
    <dataValidation type="list" allowBlank="1" showInputMessage="1" showErrorMessage="1" sqref="C86 C83" xr:uid="{D0A14334-FABE-4F2C-9C96-67FE9E8F7802}">
      <formula1>Other_Personnel</formula1>
    </dataValidation>
    <dataValidation type="list" errorStyle="information" allowBlank="1" showInputMessage="1" showErrorMessage="1" error="To override the pick list and manually enter a name not on it, just select OK to this informational message." sqref="C12:C22" xr:uid="{00000000-0002-0000-0400-000001000000}">
      <formula1>Name</formula1>
    </dataValidation>
    <dataValidation type="list" allowBlank="1" showInputMessage="1" showErrorMessage="1" sqref="B216:B220" xr:uid="{614A8577-DF8D-4029-9C24-B9259FF805F1}">
      <formula1>"Yes,No"</formula1>
    </dataValidation>
  </dataValidations>
  <pageMargins left="0.7" right="0.7" top="0.75" bottom="0.75" header="0.3" footer="0.3"/>
  <pageSetup scale="65" orientation="portrait" r:id="rId1"/>
  <headerFooter alignWithMargins="0"/>
  <rowBreaks count="2" manualBreakCount="2">
    <brk id="72" max="16383" man="1"/>
    <brk id="149" max="16383" man="1"/>
  </rowBreaks>
  <ignoredErrors>
    <ignoredError sqref="G229 C9 D224:E227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26"/>
  </sheetPr>
  <dimension ref="A1:I43"/>
  <sheetViews>
    <sheetView zoomScaleNormal="100" workbookViewId="0">
      <selection activeCell="B5" sqref="B5"/>
    </sheetView>
  </sheetViews>
  <sheetFormatPr defaultRowHeight="12.75" x14ac:dyDescent="0.2"/>
  <cols>
    <col min="1" max="1" width="13.140625" customWidth="1"/>
    <col min="2" max="2" width="43.42578125" customWidth="1"/>
    <col min="4" max="4" width="11" customWidth="1"/>
    <col min="5" max="6" width="9.85546875" customWidth="1"/>
    <col min="7" max="7" width="10.5703125" customWidth="1"/>
    <col min="8" max="8" width="16" customWidth="1"/>
  </cols>
  <sheetData>
    <row r="1" spans="1:8" ht="15" x14ac:dyDescent="0.2">
      <c r="C1" s="1"/>
      <c r="D1" s="1"/>
      <c r="F1" s="75" t="s">
        <v>0</v>
      </c>
    </row>
    <row r="2" spans="1:8" ht="15" x14ac:dyDescent="0.2">
      <c r="C2" s="1"/>
      <c r="D2" s="1"/>
      <c r="F2" s="1" t="s">
        <v>159</v>
      </c>
    </row>
    <row r="3" spans="1:8" ht="15" x14ac:dyDescent="0.2">
      <c r="C3" s="1"/>
      <c r="D3" s="1"/>
    </row>
    <row r="4" spans="1:8" ht="15" x14ac:dyDescent="0.2">
      <c r="C4" s="1"/>
      <c r="D4" s="1"/>
    </row>
    <row r="5" spans="1:8" ht="18" x14ac:dyDescent="0.25">
      <c r="B5" s="76" t="s">
        <v>104</v>
      </c>
      <c r="C5" s="1"/>
      <c r="D5" s="1"/>
      <c r="H5" s="320" t="str">
        <f>Year1!H4</f>
        <v>Ver.14.6 3/25</v>
      </c>
    </row>
    <row r="6" spans="1:8" ht="15" x14ac:dyDescent="0.2">
      <c r="C6" s="1"/>
      <c r="D6" s="1"/>
      <c r="H6" s="77"/>
    </row>
    <row r="7" spans="1:8" x14ac:dyDescent="0.2">
      <c r="A7" s="224" t="s">
        <v>1</v>
      </c>
      <c r="B7" s="230"/>
      <c r="C7" s="230">
        <f>Year1!C6</f>
        <v>0</v>
      </c>
      <c r="D7" s="230"/>
      <c r="E7" s="230"/>
      <c r="F7" s="230"/>
      <c r="G7" s="230" t="s">
        <v>201</v>
      </c>
      <c r="H7" s="379">
        <f>Year1!H6</f>
        <v>46204</v>
      </c>
    </row>
    <row r="8" spans="1:8" x14ac:dyDescent="0.2">
      <c r="A8" s="224" t="s">
        <v>2</v>
      </c>
      <c r="B8" s="239">
        <f>Year1!B7</f>
        <v>0</v>
      </c>
      <c r="C8" s="230"/>
      <c r="D8" s="230"/>
      <c r="E8" s="230"/>
      <c r="F8" s="230"/>
      <c r="G8" s="230" t="s">
        <v>202</v>
      </c>
      <c r="H8" s="380">
        <f>Year1!H7</f>
        <v>48029</v>
      </c>
    </row>
    <row r="11" spans="1:8" ht="13.5" thickBot="1" x14ac:dyDescent="0.25">
      <c r="A11" s="19" t="s">
        <v>5</v>
      </c>
      <c r="B11" s="48" t="s">
        <v>100</v>
      </c>
      <c r="C11" s="47" t="s">
        <v>94</v>
      </c>
      <c r="D11" s="47" t="s">
        <v>95</v>
      </c>
      <c r="E11" s="47" t="s">
        <v>96</v>
      </c>
      <c r="F11" s="47" t="s">
        <v>97</v>
      </c>
      <c r="G11" s="47" t="s">
        <v>98</v>
      </c>
      <c r="H11" s="47" t="s">
        <v>99</v>
      </c>
    </row>
    <row r="12" spans="1:8" x14ac:dyDescent="0.2">
      <c r="A12" s="19"/>
      <c r="B12" s="49"/>
      <c r="C12" s="386"/>
      <c r="D12" s="395"/>
      <c r="E12" s="381"/>
      <c r="F12" s="390"/>
      <c r="G12" s="400"/>
      <c r="H12" s="409"/>
    </row>
    <row r="13" spans="1:8" ht="13.5" customHeight="1" x14ac:dyDescent="0.2">
      <c r="B13" s="5" t="s">
        <v>4</v>
      </c>
      <c r="C13" s="387">
        <f>Year1!H23</f>
        <v>0</v>
      </c>
      <c r="D13" s="396">
        <f>Year2!H23</f>
        <v>0</v>
      </c>
      <c r="E13" s="382">
        <f>Year3!H23</f>
        <v>0</v>
      </c>
      <c r="F13" s="391">
        <f>Year4!H23</f>
        <v>0</v>
      </c>
      <c r="G13" s="401">
        <f>Year5!H23</f>
        <v>0</v>
      </c>
      <c r="H13" s="410">
        <f t="shared" ref="H13:H22" si="0">SUM(C13:G13)</f>
        <v>0</v>
      </c>
    </row>
    <row r="14" spans="1:8" x14ac:dyDescent="0.2">
      <c r="B14" s="5" t="s">
        <v>81</v>
      </c>
      <c r="C14" s="387">
        <f>Year1!H81</f>
        <v>0</v>
      </c>
      <c r="D14" s="396">
        <f>Year2!H81</f>
        <v>0</v>
      </c>
      <c r="E14" s="382">
        <f>Year3!H81</f>
        <v>0</v>
      </c>
      <c r="F14" s="391">
        <f>Year4!H81</f>
        <v>0</v>
      </c>
      <c r="G14" s="401">
        <f>Year5!H81</f>
        <v>0</v>
      </c>
      <c r="H14" s="410">
        <f t="shared" si="0"/>
        <v>0</v>
      </c>
    </row>
    <row r="15" spans="1:8" ht="13.5" thickBot="1" x14ac:dyDescent="0.25">
      <c r="B15" s="5" t="s">
        <v>17</v>
      </c>
      <c r="C15" s="387">
        <f>Year1!H148</f>
        <v>0</v>
      </c>
      <c r="D15" s="396">
        <f>Year2!H148</f>
        <v>0</v>
      </c>
      <c r="E15" s="382">
        <f>Year3!H148</f>
        <v>0</v>
      </c>
      <c r="F15" s="391">
        <f>Year4!H148</f>
        <v>0</v>
      </c>
      <c r="G15" s="401">
        <f>Year5!H148</f>
        <v>0</v>
      </c>
      <c r="H15" s="410">
        <f t="shared" si="0"/>
        <v>0</v>
      </c>
    </row>
    <row r="16" spans="1:8" ht="13.5" thickBot="1" x14ac:dyDescent="0.25">
      <c r="B16" s="50" t="s">
        <v>82</v>
      </c>
      <c r="C16" s="388">
        <f>Year1!H149</f>
        <v>0</v>
      </c>
      <c r="D16" s="397">
        <f>Year2!H149</f>
        <v>0</v>
      </c>
      <c r="E16" s="383">
        <f>Year3!H149</f>
        <v>0</v>
      </c>
      <c r="F16" s="392">
        <f>Year4!H149</f>
        <v>0</v>
      </c>
      <c r="G16" s="402">
        <f>Year5!H149</f>
        <v>0</v>
      </c>
      <c r="H16" s="411">
        <f t="shared" si="0"/>
        <v>0</v>
      </c>
    </row>
    <row r="17" spans="1:8" ht="13.5" thickBot="1" x14ac:dyDescent="0.25">
      <c r="A17" s="19" t="s">
        <v>16</v>
      </c>
      <c r="B17" s="5" t="s">
        <v>83</v>
      </c>
      <c r="C17" s="387">
        <f ca="1">Year1!H168</f>
        <v>0</v>
      </c>
      <c r="D17" s="396">
        <f>Year2!H168</f>
        <v>0</v>
      </c>
      <c r="E17" s="382">
        <f>Year3!H168</f>
        <v>0</v>
      </c>
      <c r="F17" s="391">
        <f>Year4!H168</f>
        <v>0</v>
      </c>
      <c r="G17" s="401">
        <f>Year5!H168</f>
        <v>0</v>
      </c>
      <c r="H17" s="410">
        <f t="shared" ca="1" si="0"/>
        <v>0</v>
      </c>
    </row>
    <row r="18" spans="1:8" ht="13.5" thickBot="1" x14ac:dyDescent="0.25">
      <c r="B18" s="50" t="s">
        <v>84</v>
      </c>
      <c r="C18" s="388">
        <f ca="1">Year1!H169</f>
        <v>0</v>
      </c>
      <c r="D18" s="397">
        <f>Year2!H169</f>
        <v>0</v>
      </c>
      <c r="E18" s="383">
        <f>Year3!H169</f>
        <v>0</v>
      </c>
      <c r="F18" s="392">
        <f>Year4!H169</f>
        <v>0</v>
      </c>
      <c r="G18" s="402">
        <f>Year5!H169</f>
        <v>0</v>
      </c>
      <c r="H18" s="411">
        <f t="shared" ca="1" si="0"/>
        <v>0</v>
      </c>
    </row>
    <row r="19" spans="1:8" x14ac:dyDescent="0.2">
      <c r="A19" s="19" t="s">
        <v>23</v>
      </c>
      <c r="B19" s="5" t="s">
        <v>85</v>
      </c>
      <c r="C19" s="387">
        <f>Year1!H177</f>
        <v>0</v>
      </c>
      <c r="D19" s="396">
        <f>Year2!H177</f>
        <v>0</v>
      </c>
      <c r="E19" s="382">
        <f>Year3!H177</f>
        <v>0</v>
      </c>
      <c r="F19" s="391">
        <f>Year4!H177</f>
        <v>0</v>
      </c>
      <c r="G19" s="401">
        <f>Year5!H177</f>
        <v>0</v>
      </c>
      <c r="H19" s="410">
        <f t="shared" si="0"/>
        <v>0</v>
      </c>
    </row>
    <row r="20" spans="1:8" ht="13.5" thickBot="1" x14ac:dyDescent="0.25">
      <c r="B20" s="52" t="s">
        <v>86</v>
      </c>
      <c r="C20" s="387">
        <f>Year1!H184</f>
        <v>0</v>
      </c>
      <c r="D20" s="396">
        <f>Year2!H184</f>
        <v>0</v>
      </c>
      <c r="E20" s="382">
        <f>Year3!H184</f>
        <v>0</v>
      </c>
      <c r="F20" s="391">
        <f>Year4!H184</f>
        <v>0</v>
      </c>
      <c r="G20" s="401">
        <f>Year5!H184</f>
        <v>0</v>
      </c>
      <c r="H20" s="410">
        <f t="shared" si="0"/>
        <v>0</v>
      </c>
    </row>
    <row r="21" spans="1:8" ht="13.5" thickBot="1" x14ac:dyDescent="0.25">
      <c r="B21" s="50" t="s">
        <v>87</v>
      </c>
      <c r="C21" s="388">
        <f>Year1!H186</f>
        <v>0</v>
      </c>
      <c r="D21" s="397">
        <f>Year2!H186</f>
        <v>0</v>
      </c>
      <c r="E21" s="383">
        <f>Year3!H186</f>
        <v>0</v>
      </c>
      <c r="F21" s="392">
        <f>Year4!H186</f>
        <v>0</v>
      </c>
      <c r="G21" s="402">
        <f>Year5!H186</f>
        <v>0</v>
      </c>
      <c r="H21" s="411">
        <f t="shared" si="0"/>
        <v>0</v>
      </c>
    </row>
    <row r="22" spans="1:8" ht="13.5" thickBot="1" x14ac:dyDescent="0.25">
      <c r="A22" s="19" t="s">
        <v>35</v>
      </c>
      <c r="B22" s="478" t="s">
        <v>88</v>
      </c>
      <c r="C22" s="477">
        <f>Year1!H191</f>
        <v>0</v>
      </c>
      <c r="D22" s="397">
        <f>Year2!H191</f>
        <v>0</v>
      </c>
      <c r="E22" s="383">
        <f>Year3!H191</f>
        <v>0</v>
      </c>
      <c r="F22" s="392">
        <f>Year4!H191</f>
        <v>0</v>
      </c>
      <c r="G22" s="402">
        <f>Year5!H191</f>
        <v>0</v>
      </c>
      <c r="H22" s="411">
        <f t="shared" si="0"/>
        <v>0</v>
      </c>
    </row>
    <row r="23" spans="1:8" x14ac:dyDescent="0.2">
      <c r="A23" s="19" t="s">
        <v>89</v>
      </c>
      <c r="B23" s="53" t="s">
        <v>90</v>
      </c>
      <c r="C23" s="387">
        <f>Year1!H198</f>
        <v>0</v>
      </c>
      <c r="D23" s="396">
        <f>Year2!H198</f>
        <v>0</v>
      </c>
      <c r="E23" s="382">
        <f>Year3!H198</f>
        <v>0</v>
      </c>
      <c r="F23" s="391">
        <f>Year4!H198</f>
        <v>0</v>
      </c>
      <c r="G23" s="403">
        <f>Year5!H198</f>
        <v>0</v>
      </c>
      <c r="H23" s="410">
        <f t="shared" ref="H23:H32" si="1">SUM(C23:G23)</f>
        <v>0</v>
      </c>
    </row>
    <row r="24" spans="1:8" x14ac:dyDescent="0.2">
      <c r="B24" s="5" t="s">
        <v>91</v>
      </c>
      <c r="C24" s="387">
        <f>SUM(Year1!H199:H203)</f>
        <v>0</v>
      </c>
      <c r="D24" s="396">
        <f>SUM(Year2!H199:H203)</f>
        <v>0</v>
      </c>
      <c r="E24" s="382">
        <f>SUM(Year3!H199:H203)</f>
        <v>0</v>
      </c>
      <c r="F24" s="391">
        <f>SUM(Year4!H199:H203)</f>
        <v>0</v>
      </c>
      <c r="G24" s="401">
        <f>SUM(Year5!H199:H203)</f>
        <v>0</v>
      </c>
      <c r="H24" s="410">
        <f t="shared" si="1"/>
        <v>0</v>
      </c>
    </row>
    <row r="25" spans="1:8" x14ac:dyDescent="0.2">
      <c r="B25" s="5" t="s">
        <v>92</v>
      </c>
      <c r="C25" s="387">
        <f>SUM(Year1!$H$193:$H$196)</f>
        <v>0</v>
      </c>
      <c r="D25" s="396">
        <f>SUM(Year2!$H$193:$H$196)</f>
        <v>0</v>
      </c>
      <c r="E25" s="382">
        <f>SUM(Year3!$H$193:$H$196)</f>
        <v>0</v>
      </c>
      <c r="F25" s="391">
        <f>SUM(Year4!$H$193:$H$196)</f>
        <v>0</v>
      </c>
      <c r="G25" s="401">
        <f>SUM(Year5!$H$193:$H$196)</f>
        <v>0</v>
      </c>
      <c r="H25" s="410">
        <f t="shared" si="1"/>
        <v>0</v>
      </c>
    </row>
    <row r="26" spans="1:8" x14ac:dyDescent="0.2">
      <c r="B26" s="5" t="s">
        <v>1200</v>
      </c>
      <c r="C26" s="387">
        <f>SUM(Year1!H204:H207)</f>
        <v>0</v>
      </c>
      <c r="D26" s="396">
        <f>SUM(Year2!H204:H207)</f>
        <v>0</v>
      </c>
      <c r="E26" s="382">
        <f>SUM(Year3!H204:H207)</f>
        <v>0</v>
      </c>
      <c r="F26" s="391">
        <f>SUM(Year4!H204:H207)</f>
        <v>0</v>
      </c>
      <c r="G26" s="401">
        <f>SUM(Year5!H204:H207)</f>
        <v>0</v>
      </c>
      <c r="H26" s="410">
        <f t="shared" si="1"/>
        <v>0</v>
      </c>
    </row>
    <row r="27" spans="1:8" x14ac:dyDescent="0.2">
      <c r="B27" s="74" t="s">
        <v>649</v>
      </c>
      <c r="C27" s="387">
        <f>Year1!H208</f>
        <v>0</v>
      </c>
      <c r="D27" s="396">
        <f>Year2!H208</f>
        <v>0</v>
      </c>
      <c r="E27" s="382">
        <f>Year3!H208</f>
        <v>0</v>
      </c>
      <c r="F27" s="391">
        <f>Year4!H208</f>
        <v>0</v>
      </c>
      <c r="G27" s="401">
        <f>Year5!H208</f>
        <v>0</v>
      </c>
      <c r="H27" s="410">
        <f t="shared" si="1"/>
        <v>0</v>
      </c>
    </row>
    <row r="28" spans="1:8" x14ac:dyDescent="0.2">
      <c r="B28" s="74" t="s">
        <v>1196</v>
      </c>
      <c r="C28" s="387">
        <f>Year1!H209</f>
        <v>0</v>
      </c>
      <c r="D28" s="396">
        <f>Year2!H209</f>
        <v>0</v>
      </c>
      <c r="E28" s="382">
        <f>Year3!H209</f>
        <v>0</v>
      </c>
      <c r="F28" s="391">
        <f>Year4!H209</f>
        <v>0</v>
      </c>
      <c r="G28" s="401">
        <f>Year5!H209</f>
        <v>0</v>
      </c>
      <c r="H28" s="410">
        <f t="shared" si="1"/>
        <v>0</v>
      </c>
    </row>
    <row r="29" spans="1:8" x14ac:dyDescent="0.2">
      <c r="B29" s="74" t="s">
        <v>651</v>
      </c>
      <c r="C29" s="387">
        <f>Year1!H210</f>
        <v>0</v>
      </c>
      <c r="D29" s="396">
        <f>Year2!H210</f>
        <v>0</v>
      </c>
      <c r="E29" s="382">
        <f>Year3!H210</f>
        <v>0</v>
      </c>
      <c r="F29" s="391">
        <f>Year4!H210</f>
        <v>0</v>
      </c>
      <c r="G29" s="401">
        <f>Year5!H210</f>
        <v>0</v>
      </c>
      <c r="H29" s="410">
        <f t="shared" si="1"/>
        <v>0</v>
      </c>
    </row>
    <row r="30" spans="1:8" x14ac:dyDescent="0.2">
      <c r="B30" s="5" t="s">
        <v>261</v>
      </c>
      <c r="C30" s="387">
        <f>Year1!H211</f>
        <v>0</v>
      </c>
      <c r="D30" s="396">
        <f>Year2!H211</f>
        <v>0</v>
      </c>
      <c r="E30" s="382">
        <f>Year3!H211</f>
        <v>0</v>
      </c>
      <c r="F30" s="391">
        <f>Year4!H211</f>
        <v>0</v>
      </c>
      <c r="G30" s="401">
        <f>Year5!H211</f>
        <v>0</v>
      </c>
      <c r="H30" s="410">
        <f t="shared" si="1"/>
        <v>0</v>
      </c>
    </row>
    <row r="31" spans="1:8" ht="13.5" thickBot="1" x14ac:dyDescent="0.25">
      <c r="B31" s="5" t="s">
        <v>43</v>
      </c>
      <c r="C31" s="387">
        <f>Year1!H212</f>
        <v>0</v>
      </c>
      <c r="D31" s="396">
        <f>Year2!H212</f>
        <v>0</v>
      </c>
      <c r="E31" s="382">
        <f>Year3!H212</f>
        <v>0</v>
      </c>
      <c r="F31" s="391">
        <f>Year4!H212</f>
        <v>0</v>
      </c>
      <c r="G31" s="401">
        <f>Year5!H212</f>
        <v>0</v>
      </c>
      <c r="H31" s="410">
        <f t="shared" si="1"/>
        <v>0</v>
      </c>
    </row>
    <row r="32" spans="1:8" ht="13.5" thickBot="1" x14ac:dyDescent="0.25">
      <c r="B32" s="479" t="s">
        <v>93</v>
      </c>
      <c r="C32" s="477">
        <f>Year1!H214</f>
        <v>0</v>
      </c>
      <c r="D32" s="397">
        <f>Year2!H214</f>
        <v>0</v>
      </c>
      <c r="E32" s="383">
        <f>Year3!H214</f>
        <v>0</v>
      </c>
      <c r="F32" s="474">
        <f>Year4!H214</f>
        <v>0</v>
      </c>
      <c r="G32" s="402">
        <f>Year5!H214</f>
        <v>0</v>
      </c>
      <c r="H32" s="411">
        <f t="shared" si="1"/>
        <v>0</v>
      </c>
    </row>
    <row r="33" spans="1:9" x14ac:dyDescent="0.2">
      <c r="B33" s="468">
        <f>Year1!C216</f>
        <v>0</v>
      </c>
      <c r="C33" s="387">
        <f>Year1!$F$216</f>
        <v>0</v>
      </c>
      <c r="D33" s="396">
        <f>Year2!$F$216</f>
        <v>0</v>
      </c>
      <c r="E33" s="382">
        <f>Year3!$F$216</f>
        <v>0</v>
      </c>
      <c r="F33" s="391">
        <f>Year4!$F$216</f>
        <v>0</v>
      </c>
      <c r="G33" s="467">
        <f>Year5!$F$216</f>
        <v>0</v>
      </c>
      <c r="H33" s="410"/>
    </row>
    <row r="34" spans="1:9" x14ac:dyDescent="0.2">
      <c r="B34" s="468">
        <f>Year1!C217</f>
        <v>0</v>
      </c>
      <c r="C34" s="387">
        <f>Year1!$F$217</f>
        <v>0</v>
      </c>
      <c r="D34" s="396">
        <f>Year2!$F$217</f>
        <v>0</v>
      </c>
      <c r="E34" s="382">
        <f>Year3!$F$217</f>
        <v>0</v>
      </c>
      <c r="F34" s="391">
        <f>Year4!$F$217</f>
        <v>0</v>
      </c>
      <c r="G34" s="467">
        <f>Year5!$F$217</f>
        <v>0</v>
      </c>
      <c r="H34" s="410"/>
    </row>
    <row r="35" spans="1:9" x14ac:dyDescent="0.2">
      <c r="B35" s="468">
        <f>Year1!C218</f>
        <v>0</v>
      </c>
      <c r="C35" s="387">
        <f>Year1!$F$218</f>
        <v>0</v>
      </c>
      <c r="D35" s="396">
        <f>Year2!$F$218</f>
        <v>0</v>
      </c>
      <c r="E35" s="382">
        <f>Year3!$F$218</f>
        <v>0</v>
      </c>
      <c r="F35" s="391">
        <f>Year4!$F$218</f>
        <v>0</v>
      </c>
      <c r="G35" s="401">
        <f>Year5!$F$218</f>
        <v>0</v>
      </c>
      <c r="H35" s="410"/>
    </row>
    <row r="36" spans="1:9" x14ac:dyDescent="0.2">
      <c r="B36" s="468">
        <f>Year1!C219</f>
        <v>0</v>
      </c>
      <c r="C36" s="476">
        <f>Year1!$F$219</f>
        <v>0</v>
      </c>
      <c r="D36" s="396">
        <f>Year2!$F$219</f>
        <v>0</v>
      </c>
      <c r="E36" s="382">
        <f>Year3!$F$219</f>
        <v>0</v>
      </c>
      <c r="F36" s="391">
        <f>Year4!$F$219</f>
        <v>0</v>
      </c>
      <c r="G36" s="475">
        <f>Year5!$F$219</f>
        <v>0</v>
      </c>
      <c r="H36" s="473"/>
    </row>
    <row r="37" spans="1:9" ht="13.5" thickBot="1" x14ac:dyDescent="0.25">
      <c r="B37" s="468">
        <f>Year1!C220</f>
        <v>0</v>
      </c>
      <c r="C37" s="466">
        <f>Year1!$F$220</f>
        <v>0</v>
      </c>
      <c r="D37" s="398">
        <f>Year2!$F$220</f>
        <v>0</v>
      </c>
      <c r="E37" s="384">
        <f>Year3!$F$220</f>
        <v>0</v>
      </c>
      <c r="F37" s="393">
        <f>Year4!$F$220</f>
        <v>0</v>
      </c>
      <c r="G37" s="404">
        <f>Year5!$F$220</f>
        <v>0</v>
      </c>
      <c r="H37" s="412"/>
    </row>
    <row r="38" spans="1:9" ht="13.5" thickBot="1" x14ac:dyDescent="0.25">
      <c r="A38" s="19" t="s">
        <v>49</v>
      </c>
      <c r="B38" s="50" t="s">
        <v>106</v>
      </c>
      <c r="C38" s="388">
        <f>Year1!$H$221</f>
        <v>0</v>
      </c>
      <c r="D38" s="397">
        <f>Year2!H221</f>
        <v>0</v>
      </c>
      <c r="E38" s="383">
        <f>Year3!H221</f>
        <v>0</v>
      </c>
      <c r="F38" s="392">
        <f>Year4!H221</f>
        <v>0</v>
      </c>
      <c r="G38" s="402">
        <f>Year5!H221</f>
        <v>0</v>
      </c>
      <c r="H38" s="411">
        <f>SUM(C38:G38)</f>
        <v>0</v>
      </c>
    </row>
    <row r="39" spans="1:9" ht="13.5" thickBot="1" x14ac:dyDescent="0.25">
      <c r="C39" s="387"/>
      <c r="D39" s="396"/>
      <c r="E39" s="382"/>
      <c r="F39" s="391"/>
      <c r="G39" s="401"/>
      <c r="H39" s="410"/>
    </row>
    <row r="40" spans="1:9" ht="13.5" thickBot="1" x14ac:dyDescent="0.25">
      <c r="A40" s="54" t="s">
        <v>101</v>
      </c>
      <c r="B40" s="51"/>
      <c r="C40" s="406">
        <f ca="1">Year1!H222</f>
        <v>0</v>
      </c>
      <c r="D40" s="397">
        <f>Year2!H222</f>
        <v>0</v>
      </c>
      <c r="E40" s="383">
        <f>Year3!H222</f>
        <v>0</v>
      </c>
      <c r="F40" s="392">
        <f>Year4!H222</f>
        <v>0</v>
      </c>
      <c r="G40" s="402">
        <f>Year5!H222</f>
        <v>0</v>
      </c>
      <c r="H40" s="411">
        <f ca="1">SUM(C40:G40)</f>
        <v>0</v>
      </c>
    </row>
    <row r="41" spans="1:9" ht="13.5" thickBot="1" x14ac:dyDescent="0.25">
      <c r="A41" s="54" t="s">
        <v>102</v>
      </c>
      <c r="B41" s="51"/>
      <c r="C41" s="406">
        <f ca="1">Year1!F223</f>
        <v>0</v>
      </c>
      <c r="D41" s="397">
        <f>Year2!F223</f>
        <v>0</v>
      </c>
      <c r="E41" s="383">
        <f>Year3!F223</f>
        <v>0</v>
      </c>
      <c r="F41" s="392">
        <f>Year4!F223</f>
        <v>0</v>
      </c>
      <c r="G41" s="402">
        <f>Year5!F223</f>
        <v>0</v>
      </c>
      <c r="H41" s="411">
        <f ca="1">SUM(C41:G41)</f>
        <v>0</v>
      </c>
    </row>
    <row r="42" spans="1:9" ht="13.5" thickBot="1" x14ac:dyDescent="0.25">
      <c r="A42" s="54" t="s">
        <v>103</v>
      </c>
      <c r="B42" s="51"/>
      <c r="C42" s="407">
        <f ca="1">Year1!H228</f>
        <v>0</v>
      </c>
      <c r="D42" s="398">
        <f>Year2!H228</f>
        <v>0</v>
      </c>
      <c r="E42" s="384">
        <f>Year3!H228</f>
        <v>0</v>
      </c>
      <c r="F42" s="393">
        <f>Year4!H228</f>
        <v>0</v>
      </c>
      <c r="G42" s="404">
        <f>Year5!H228</f>
        <v>0</v>
      </c>
      <c r="H42" s="412">
        <f ca="1">SUM(C42:G42)</f>
        <v>0</v>
      </c>
    </row>
    <row r="43" spans="1:9" ht="13.5" thickBot="1" x14ac:dyDescent="0.25">
      <c r="B43" s="47" t="s">
        <v>105</v>
      </c>
      <c r="C43" s="389">
        <f ca="1">Year1!H230</f>
        <v>0</v>
      </c>
      <c r="D43" s="399">
        <f>Year2!H230</f>
        <v>0</v>
      </c>
      <c r="E43" s="385">
        <f>Year3!H230</f>
        <v>0</v>
      </c>
      <c r="F43" s="394">
        <f>Year4!H230</f>
        <v>0</v>
      </c>
      <c r="G43" s="405">
        <f>Year5!H230</f>
        <v>0</v>
      </c>
      <c r="H43" s="408">
        <f ca="1">SUM(C43:G43)</f>
        <v>0</v>
      </c>
      <c r="I43" s="12"/>
    </row>
  </sheetData>
  <phoneticPr fontId="4" type="noConversion"/>
  <pageMargins left="0.75" right="0.75" top="1" bottom="1" header="0.5" footer="0.5"/>
  <pageSetup scale="79" orientation="landscape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6C78-E364-49CA-B4DE-A91607D84C17}">
  <sheetPr>
    <tabColor rgb="FFFFF0C1"/>
  </sheetPr>
  <dimension ref="A1:M35"/>
  <sheetViews>
    <sheetView zoomScale="120" zoomScaleNormal="120" workbookViewId="0">
      <selection activeCell="D36" sqref="D36"/>
    </sheetView>
  </sheetViews>
  <sheetFormatPr defaultColWidth="8.85546875" defaultRowHeight="20.100000000000001" customHeight="1" outlineLevelRow="1" x14ac:dyDescent="0.25"/>
  <cols>
    <col min="1" max="1" width="3.7109375" style="496" customWidth="1"/>
    <col min="2" max="2" width="29.28515625" style="496" customWidth="1"/>
    <col min="3" max="8" width="11.7109375" style="496" customWidth="1"/>
    <col min="9" max="9" width="15.7109375" style="496" customWidth="1"/>
    <col min="10" max="10" width="3.7109375" style="496" customWidth="1"/>
    <col min="11" max="16384" width="8.85546875" style="496"/>
  </cols>
  <sheetData>
    <row r="1" spans="1:10" ht="20.100000000000001" customHeight="1" thickBot="1" x14ac:dyDescent="0.3">
      <c r="A1" s="495"/>
      <c r="B1" s="495"/>
      <c r="C1" s="495"/>
      <c r="D1" s="495"/>
      <c r="E1" s="495"/>
      <c r="F1" s="495"/>
      <c r="G1" s="495"/>
      <c r="H1" s="495"/>
      <c r="I1" s="495"/>
      <c r="J1" s="495"/>
    </row>
    <row r="2" spans="1:10" ht="20.100000000000001" customHeight="1" x14ac:dyDescent="0.25">
      <c r="A2" s="495"/>
      <c r="B2" s="497" t="s">
        <v>0</v>
      </c>
      <c r="C2" s="498"/>
      <c r="D2" s="499" t="s">
        <v>1303</v>
      </c>
      <c r="E2" s="565">
        <f>Year1!C6</f>
        <v>0</v>
      </c>
      <c r="F2" s="565"/>
      <c r="G2" s="565"/>
      <c r="H2" s="499" t="s">
        <v>1304</v>
      </c>
      <c r="I2" s="499" t="s">
        <v>1305</v>
      </c>
      <c r="J2" s="495"/>
    </row>
    <row r="3" spans="1:10" ht="20.100000000000001" customHeight="1" x14ac:dyDescent="0.25">
      <c r="A3" s="495"/>
      <c r="B3" s="500" t="s">
        <v>1306</v>
      </c>
      <c r="C3" s="501"/>
      <c r="D3" s="502" t="s">
        <v>1307</v>
      </c>
      <c r="E3" s="566">
        <f>Year1!G10</f>
        <v>0</v>
      </c>
      <c r="F3" s="566"/>
      <c r="G3" s="566"/>
      <c r="H3" s="503">
        <f>Year1!H6</f>
        <v>46204</v>
      </c>
      <c r="I3" s="567">
        <f ca="1">I16</f>
        <v>0</v>
      </c>
      <c r="J3" s="495"/>
    </row>
    <row r="4" spans="1:10" ht="20.100000000000001" customHeight="1" x14ac:dyDescent="0.25">
      <c r="A4" s="495"/>
      <c r="B4" s="501"/>
      <c r="C4" s="501"/>
      <c r="D4" s="504" t="s">
        <v>1308</v>
      </c>
      <c r="E4" s="569">
        <f>Year1!B7</f>
        <v>0</v>
      </c>
      <c r="F4" s="569"/>
      <c r="G4" s="569"/>
      <c r="H4" s="505">
        <f>Year1!H7</f>
        <v>48029</v>
      </c>
      <c r="I4" s="568"/>
      <c r="J4" s="495"/>
    </row>
    <row r="5" spans="1:10" ht="20.100000000000001" customHeight="1" x14ac:dyDescent="0.25">
      <c r="A5" s="495"/>
      <c r="B5" s="501"/>
      <c r="C5" s="501"/>
      <c r="D5" s="501"/>
      <c r="E5" s="495"/>
      <c r="F5" s="495"/>
      <c r="G5" s="506"/>
      <c r="H5" s="501"/>
      <c r="I5" s="495"/>
      <c r="J5" s="507"/>
    </row>
    <row r="6" spans="1:10" ht="20.100000000000001" customHeight="1" x14ac:dyDescent="0.25">
      <c r="B6" s="501"/>
      <c r="C6" s="501"/>
      <c r="D6" s="508"/>
      <c r="E6" s="508"/>
      <c r="F6" s="508"/>
      <c r="G6" s="508"/>
      <c r="H6" s="508"/>
      <c r="I6" s="501"/>
      <c r="J6" s="495"/>
    </row>
    <row r="7" spans="1:10" ht="20.100000000000001" customHeight="1" x14ac:dyDescent="0.25">
      <c r="A7" s="509"/>
      <c r="B7" s="501"/>
      <c r="C7" s="510" t="s">
        <v>616</v>
      </c>
      <c r="D7" s="511">
        <f>Year1!B8</f>
        <v>46204</v>
      </c>
      <c r="E7" s="511">
        <f>Year2!B8</f>
        <v>46569</v>
      </c>
      <c r="F7" s="511">
        <f>Year3!B8</f>
        <v>46935</v>
      </c>
      <c r="G7" s="511">
        <f>Year4!B8</f>
        <v>47300</v>
      </c>
      <c r="H7" s="511">
        <f>Year5!B8</f>
        <v>47665</v>
      </c>
      <c r="I7" s="512"/>
      <c r="J7" s="495"/>
    </row>
    <row r="8" spans="1:10" ht="20.100000000000001" customHeight="1" x14ac:dyDescent="0.25">
      <c r="A8" s="495"/>
      <c r="B8" s="501"/>
      <c r="C8" s="510" t="s">
        <v>617</v>
      </c>
      <c r="D8" s="513">
        <f>Year1!D8</f>
        <v>46568</v>
      </c>
      <c r="E8" s="513">
        <f>Year2!D8</f>
        <v>46934</v>
      </c>
      <c r="F8" s="513">
        <f>Year3!D8</f>
        <v>47299</v>
      </c>
      <c r="G8" s="513">
        <f>Year4!D8</f>
        <v>47664</v>
      </c>
      <c r="H8" s="513">
        <f>Year5!D8</f>
        <v>48029</v>
      </c>
      <c r="I8" s="512"/>
      <c r="J8" s="495"/>
    </row>
    <row r="9" spans="1:10" ht="20.100000000000001" customHeight="1" thickBot="1" x14ac:dyDescent="0.3">
      <c r="A9" s="495"/>
      <c r="B9" s="514" t="s">
        <v>1309</v>
      </c>
      <c r="C9" s="515"/>
      <c r="D9" s="516" t="s">
        <v>1085</v>
      </c>
      <c r="E9" s="516" t="s">
        <v>1086</v>
      </c>
      <c r="F9" s="516" t="s">
        <v>1310</v>
      </c>
      <c r="G9" s="516" t="s">
        <v>1311</v>
      </c>
      <c r="H9" s="516" t="s">
        <v>1312</v>
      </c>
      <c r="I9" s="517" t="s">
        <v>9</v>
      </c>
      <c r="J9" s="495"/>
    </row>
    <row r="10" spans="1:10" ht="20.100000000000001" customHeight="1" x14ac:dyDescent="0.25">
      <c r="A10" s="495"/>
      <c r="B10" s="563" t="s">
        <v>1313</v>
      </c>
      <c r="C10" s="564"/>
      <c r="D10" s="518">
        <f ca="1">ROUND(D19+D28,0)</f>
        <v>0</v>
      </c>
      <c r="E10" s="518">
        <f>ROUND(E19+E28,0)</f>
        <v>0</v>
      </c>
      <c r="F10" s="518">
        <f>ROUND(F19+F28,0)</f>
        <v>0</v>
      </c>
      <c r="G10" s="518">
        <f>ROUND(G19+G28,0)</f>
        <v>0</v>
      </c>
      <c r="H10" s="518">
        <f>ROUND(H19+H28,0)</f>
        <v>0</v>
      </c>
      <c r="I10" s="519">
        <f t="shared" ref="I10" ca="1" si="0">SUM(D10:H10)</f>
        <v>0</v>
      </c>
      <c r="J10" s="495"/>
    </row>
    <row r="11" spans="1:10" ht="20.100000000000001" customHeight="1" x14ac:dyDescent="0.25">
      <c r="A11" s="495"/>
      <c r="B11" s="561" t="s">
        <v>35</v>
      </c>
      <c r="C11" s="562"/>
      <c r="D11" s="520">
        <f t="shared" ref="D11:H15" si="1">D20+D29</f>
        <v>0</v>
      </c>
      <c r="E11" s="520">
        <f t="shared" si="1"/>
        <v>0</v>
      </c>
      <c r="F11" s="520">
        <f t="shared" si="1"/>
        <v>0</v>
      </c>
      <c r="G11" s="520">
        <f t="shared" si="1"/>
        <v>0</v>
      </c>
      <c r="H11" s="520">
        <f t="shared" si="1"/>
        <v>0</v>
      </c>
      <c r="I11" s="521">
        <f>SUM(D11:H11)</f>
        <v>0</v>
      </c>
      <c r="J11" s="495"/>
    </row>
    <row r="12" spans="1:10" ht="20.100000000000001" customHeight="1" x14ac:dyDescent="0.25">
      <c r="A12" s="495"/>
      <c r="B12" s="561" t="s">
        <v>23</v>
      </c>
      <c r="C12" s="562"/>
      <c r="D12" s="520">
        <f t="shared" si="1"/>
        <v>0</v>
      </c>
      <c r="E12" s="520">
        <f t="shared" si="1"/>
        <v>0</v>
      </c>
      <c r="F12" s="520">
        <f t="shared" si="1"/>
        <v>0</v>
      </c>
      <c r="G12" s="520">
        <f t="shared" si="1"/>
        <v>0</v>
      </c>
      <c r="H12" s="520">
        <f t="shared" si="1"/>
        <v>0</v>
      </c>
      <c r="I12" s="521">
        <f t="shared" ref="I12:I15" si="2">SUM(D12:H12)</f>
        <v>0</v>
      </c>
      <c r="J12" s="495"/>
    </row>
    <row r="13" spans="1:10" ht="20.100000000000001" customHeight="1" x14ac:dyDescent="0.25">
      <c r="A13" s="495"/>
      <c r="B13" s="561" t="s">
        <v>622</v>
      </c>
      <c r="C13" s="562"/>
      <c r="D13" s="520">
        <f t="shared" si="1"/>
        <v>0</v>
      </c>
      <c r="E13" s="520">
        <f t="shared" si="1"/>
        <v>0</v>
      </c>
      <c r="F13" s="520">
        <f t="shared" si="1"/>
        <v>0</v>
      </c>
      <c r="G13" s="520">
        <f t="shared" si="1"/>
        <v>0</v>
      </c>
      <c r="H13" s="520">
        <f t="shared" si="1"/>
        <v>0</v>
      </c>
      <c r="I13" s="521">
        <f t="shared" si="2"/>
        <v>0</v>
      </c>
      <c r="J13" s="495"/>
    </row>
    <row r="14" spans="1:10" ht="20.100000000000001" customHeight="1" x14ac:dyDescent="0.25">
      <c r="A14" s="495"/>
      <c r="B14" s="561" t="s">
        <v>1314</v>
      </c>
      <c r="C14" s="562"/>
      <c r="D14" s="520">
        <f t="shared" si="1"/>
        <v>0</v>
      </c>
      <c r="E14" s="520">
        <f t="shared" si="1"/>
        <v>0</v>
      </c>
      <c r="F14" s="520">
        <f t="shared" si="1"/>
        <v>0</v>
      </c>
      <c r="G14" s="520">
        <f t="shared" si="1"/>
        <v>0</v>
      </c>
      <c r="H14" s="520">
        <f t="shared" si="1"/>
        <v>0</v>
      </c>
      <c r="I14" s="521">
        <f t="shared" si="2"/>
        <v>0</v>
      </c>
      <c r="J14" s="495"/>
    </row>
    <row r="15" spans="1:10" ht="20.100000000000001" customHeight="1" x14ac:dyDescent="0.25">
      <c r="A15" s="495"/>
      <c r="B15" s="570" t="s">
        <v>1315</v>
      </c>
      <c r="C15" s="571"/>
      <c r="D15" s="522">
        <f t="shared" si="1"/>
        <v>0</v>
      </c>
      <c r="E15" s="522">
        <f t="shared" si="1"/>
        <v>0</v>
      </c>
      <c r="F15" s="522">
        <f t="shared" si="1"/>
        <v>0</v>
      </c>
      <c r="G15" s="522">
        <f t="shared" si="1"/>
        <v>0</v>
      </c>
      <c r="H15" s="522">
        <f t="shared" si="1"/>
        <v>0</v>
      </c>
      <c r="I15" s="523">
        <f t="shared" si="2"/>
        <v>0</v>
      </c>
      <c r="J15" s="495"/>
    </row>
    <row r="16" spans="1:10" ht="20.100000000000001" customHeight="1" x14ac:dyDescent="0.25">
      <c r="A16" s="495"/>
      <c r="B16" s="524" t="s">
        <v>1316</v>
      </c>
      <c r="C16" s="525"/>
      <c r="D16" s="526">
        <f ca="1">SUM(D10:D15)</f>
        <v>0</v>
      </c>
      <c r="E16" s="526">
        <f>SUM(E10:E15)</f>
        <v>0</v>
      </c>
      <c r="F16" s="526">
        <f>SUM(F10:F15)</f>
        <v>0</v>
      </c>
      <c r="G16" s="526">
        <f>SUM(G10:G15)</f>
        <v>0</v>
      </c>
      <c r="H16" s="526">
        <f>SUM(H10:H15)</f>
        <v>0</v>
      </c>
      <c r="I16" s="527">
        <f ca="1">SUM(D16:H16)</f>
        <v>0</v>
      </c>
      <c r="J16" s="495"/>
    </row>
    <row r="17" spans="1:13" ht="20.100000000000001" customHeight="1" x14ac:dyDescent="0.25">
      <c r="A17" s="495"/>
      <c r="B17" s="528"/>
      <c r="C17" s="528"/>
      <c r="D17" s="529"/>
      <c r="E17" s="529"/>
      <c r="F17" s="529"/>
      <c r="G17" s="529"/>
      <c r="H17" s="529"/>
      <c r="I17" s="529"/>
      <c r="J17" s="495"/>
    </row>
    <row r="18" spans="1:13" ht="20.100000000000001" hidden="1" customHeight="1" outlineLevel="1" thickBot="1" x14ac:dyDescent="0.3">
      <c r="A18" s="495"/>
      <c r="B18" s="514" t="s">
        <v>1317</v>
      </c>
      <c r="C18" s="515"/>
      <c r="D18" s="530"/>
      <c r="E18" s="530"/>
      <c r="F18" s="530"/>
      <c r="G18" s="530"/>
      <c r="H18" s="530"/>
      <c r="I18" s="531"/>
      <c r="J18" s="495"/>
    </row>
    <row r="19" spans="1:13" ht="20.100000000000001" hidden="1" customHeight="1" outlineLevel="1" x14ac:dyDescent="0.25">
      <c r="A19" s="495"/>
      <c r="B19" s="563" t="s">
        <v>1313</v>
      </c>
      <c r="C19" s="564"/>
      <c r="D19" s="518">
        <f ca="1">Summary_Budget!C18</f>
        <v>0</v>
      </c>
      <c r="E19" s="518">
        <f>Summary_Budget!D18</f>
        <v>0</v>
      </c>
      <c r="F19" s="518">
        <f>Summary_Budget!E18</f>
        <v>0</v>
      </c>
      <c r="G19" s="518">
        <f>Summary_Budget!F18</f>
        <v>0</v>
      </c>
      <c r="H19" s="518">
        <f>Summary_Budget!G18</f>
        <v>0</v>
      </c>
      <c r="I19" s="519">
        <f t="shared" ref="I19:I24" ca="1" si="3">SUM(D19:H19)</f>
        <v>0</v>
      </c>
      <c r="J19" s="495"/>
      <c r="L19" s="538"/>
    </row>
    <row r="20" spans="1:13" ht="20.100000000000001" hidden="1" customHeight="1" outlineLevel="1" x14ac:dyDescent="0.25">
      <c r="A20" s="495"/>
      <c r="B20" s="561" t="s">
        <v>35</v>
      </c>
      <c r="C20" s="562"/>
      <c r="D20" s="520">
        <f>Summary_Budget!C22</f>
        <v>0</v>
      </c>
      <c r="E20" s="520">
        <f>Summary_Budget!D22</f>
        <v>0</v>
      </c>
      <c r="F20" s="520">
        <f>Summary_Budget!E22</f>
        <v>0</v>
      </c>
      <c r="G20" s="520">
        <f>Summary_Budget!F22</f>
        <v>0</v>
      </c>
      <c r="H20" s="520">
        <f>Summary_Budget!G22</f>
        <v>0</v>
      </c>
      <c r="I20" s="521">
        <f>SUM(D20:H20)</f>
        <v>0</v>
      </c>
      <c r="J20" s="495"/>
      <c r="L20" s="538"/>
    </row>
    <row r="21" spans="1:13" ht="20.100000000000001" hidden="1" customHeight="1" outlineLevel="1" x14ac:dyDescent="0.25">
      <c r="A21" s="495"/>
      <c r="B21" s="561" t="s">
        <v>23</v>
      </c>
      <c r="C21" s="562"/>
      <c r="D21" s="520">
        <f>Summary_Budget!C21</f>
        <v>0</v>
      </c>
      <c r="E21" s="520">
        <f>Summary_Budget!D21</f>
        <v>0</v>
      </c>
      <c r="F21" s="520">
        <f>Summary_Budget!E21</f>
        <v>0</v>
      </c>
      <c r="G21" s="520">
        <f>Summary_Budget!F21</f>
        <v>0</v>
      </c>
      <c r="H21" s="520">
        <f>Summary_Budget!G21</f>
        <v>0</v>
      </c>
      <c r="I21" s="521">
        <f t="shared" si="3"/>
        <v>0</v>
      </c>
      <c r="J21" s="495"/>
    </row>
    <row r="22" spans="1:13" ht="20.100000000000001" hidden="1" customHeight="1" outlineLevel="1" x14ac:dyDescent="0.25">
      <c r="A22" s="495"/>
      <c r="B22" s="561" t="s">
        <v>622</v>
      </c>
      <c r="C22" s="562"/>
      <c r="D22" s="520">
        <f>Summary_Budget!C32-Summary_Budget!C29</f>
        <v>0</v>
      </c>
      <c r="E22" s="520">
        <f>Summary_Budget!D32-Summary_Budget!D29</f>
        <v>0</v>
      </c>
      <c r="F22" s="520">
        <f>Summary_Budget!E32-Summary_Budget!E29</f>
        <v>0</v>
      </c>
      <c r="G22" s="520">
        <f>Summary_Budget!F32-Summary_Budget!E29</f>
        <v>0</v>
      </c>
      <c r="H22" s="520">
        <f>Summary_Budget!G32-Summary_Budget!G29</f>
        <v>0</v>
      </c>
      <c r="I22" s="521">
        <f t="shared" si="3"/>
        <v>0</v>
      </c>
      <c r="J22" s="495"/>
    </row>
    <row r="23" spans="1:13" ht="20.100000000000001" hidden="1" customHeight="1" outlineLevel="1" x14ac:dyDescent="0.25">
      <c r="A23" s="495"/>
      <c r="B23" s="561" t="s">
        <v>1314</v>
      </c>
      <c r="C23" s="562"/>
      <c r="D23" s="520">
        <f>Summary_Budget!C38</f>
        <v>0</v>
      </c>
      <c r="E23" s="520">
        <f>Summary_Budget!D38</f>
        <v>0</v>
      </c>
      <c r="F23" s="520">
        <f>Summary_Budget!E38</f>
        <v>0</v>
      </c>
      <c r="G23" s="520">
        <f>Summary_Budget!F38</f>
        <v>0</v>
      </c>
      <c r="H23" s="520">
        <f>Summary_Budget!G38</f>
        <v>0</v>
      </c>
      <c r="I23" s="521">
        <f t="shared" si="3"/>
        <v>0</v>
      </c>
      <c r="J23" s="495"/>
    </row>
    <row r="24" spans="1:13" ht="20.100000000000001" hidden="1" customHeight="1" outlineLevel="1" x14ac:dyDescent="0.25">
      <c r="A24" s="495"/>
      <c r="B24" s="561" t="s">
        <v>1315</v>
      </c>
      <c r="C24" s="562"/>
      <c r="D24" s="520">
        <f>Summary_Budget!C29</f>
        <v>0</v>
      </c>
      <c r="E24" s="520">
        <f>Summary_Budget!D29</f>
        <v>0</v>
      </c>
      <c r="F24" s="520">
        <f>Summary_Budget!E29</f>
        <v>0</v>
      </c>
      <c r="G24" s="520">
        <f>Summary_Budget!F29</f>
        <v>0</v>
      </c>
      <c r="H24" s="520">
        <f>Summary_Budget!G29</f>
        <v>0</v>
      </c>
      <c r="I24" s="521">
        <f t="shared" si="3"/>
        <v>0</v>
      </c>
      <c r="J24" s="495"/>
      <c r="M24" s="542"/>
    </row>
    <row r="25" spans="1:13" ht="20.100000000000001" hidden="1" customHeight="1" outlineLevel="1" x14ac:dyDescent="0.25">
      <c r="A25" s="495"/>
      <c r="B25" s="559" t="s">
        <v>48</v>
      </c>
      <c r="C25" s="560"/>
      <c r="D25" s="532">
        <f ca="1">SUM(D19:D24)</f>
        <v>0</v>
      </c>
      <c r="E25" s="532">
        <f>SUM(E19:E24)</f>
        <v>0</v>
      </c>
      <c r="F25" s="532">
        <f>SUM(F19:F24)</f>
        <v>0</v>
      </c>
      <c r="G25" s="532">
        <f>SUM(G19:G24)</f>
        <v>0</v>
      </c>
      <c r="H25" s="532">
        <f>SUM(H19:H24)</f>
        <v>0</v>
      </c>
      <c r="I25" s="533">
        <f ca="1">SUM(D25:H25)</f>
        <v>0</v>
      </c>
      <c r="J25" s="495"/>
      <c r="M25" s="542"/>
    </row>
    <row r="26" spans="1:13" ht="20.100000000000001" hidden="1" customHeight="1" outlineLevel="1" x14ac:dyDescent="0.25">
      <c r="A26" s="495"/>
      <c r="B26" s="528"/>
      <c r="C26" s="528"/>
      <c r="D26" s="529"/>
      <c r="E26" s="529"/>
      <c r="F26" s="529"/>
      <c r="G26" s="529"/>
      <c r="H26" s="529"/>
      <c r="I26" s="529"/>
      <c r="J26" s="495"/>
      <c r="M26" s="542"/>
    </row>
    <row r="27" spans="1:13" ht="20.100000000000001" hidden="1" customHeight="1" outlineLevel="1" thickBot="1" x14ac:dyDescent="0.3">
      <c r="A27" s="495"/>
      <c r="B27" s="514" t="s">
        <v>1318</v>
      </c>
      <c r="C27" s="534">
        <f>Year1!G229</f>
        <v>0.60499999999999998</v>
      </c>
      <c r="D27" s="530"/>
      <c r="E27" s="530"/>
      <c r="F27" s="530"/>
      <c r="G27" s="530"/>
      <c r="H27" s="530"/>
      <c r="I27" s="531"/>
      <c r="J27" s="495"/>
      <c r="K27" s="495"/>
    </row>
    <row r="28" spans="1:13" ht="20.100000000000001" hidden="1" customHeight="1" outlineLevel="1" x14ac:dyDescent="0.25">
      <c r="A28" s="495"/>
      <c r="B28" s="563" t="s">
        <v>1313</v>
      </c>
      <c r="C28" s="564"/>
      <c r="D28" s="518">
        <f ca="1">(Year1!$H$169-SUM(Year1!$H$158:$H$161))*$C$27</f>
        <v>0</v>
      </c>
      <c r="E28" s="518">
        <f>(Year2!$H$169-SUM(Year2!$H$158:$H$161))*$C$27</f>
        <v>0</v>
      </c>
      <c r="F28" s="518">
        <f>(Year3!$H$169-SUM(Year3!$H$158:$H$161))*$C$27</f>
        <v>0</v>
      </c>
      <c r="G28" s="518">
        <f>(Year4!$H$169-SUM(Year4!$H$158:$H$161))*$C$27</f>
        <v>0</v>
      </c>
      <c r="H28" s="518">
        <f>(Year5!$H$169-SUM(Year5!$H$158:$H$161))*$C$27</f>
        <v>0</v>
      </c>
      <c r="I28" s="519">
        <f t="shared" ref="I28" ca="1" si="4">SUM(D28:H28)</f>
        <v>0</v>
      </c>
      <c r="J28" s="495"/>
      <c r="K28" s="495"/>
    </row>
    <row r="29" spans="1:13" ht="20.100000000000001" hidden="1" customHeight="1" outlineLevel="1" x14ac:dyDescent="0.25">
      <c r="A29" s="495"/>
      <c r="B29" s="561" t="s">
        <v>35</v>
      </c>
      <c r="C29" s="562"/>
      <c r="D29" s="520">
        <v>0</v>
      </c>
      <c r="E29" s="520">
        <v>0</v>
      </c>
      <c r="F29" s="520">
        <v>0</v>
      </c>
      <c r="G29" s="520">
        <v>0</v>
      </c>
      <c r="H29" s="520">
        <v>0</v>
      </c>
      <c r="I29" s="521">
        <f>SUM(D29:H29)</f>
        <v>0</v>
      </c>
      <c r="J29" s="495"/>
      <c r="K29" s="495"/>
    </row>
    <row r="30" spans="1:13" ht="20.100000000000001" hidden="1" customHeight="1" outlineLevel="1" x14ac:dyDescent="0.25">
      <c r="A30" s="495"/>
      <c r="B30" s="561" t="s">
        <v>23</v>
      </c>
      <c r="C30" s="562"/>
      <c r="D30" s="520">
        <f t="shared" ref="D30:G33" si="5">ROUND(D21*$C$27,0)</f>
        <v>0</v>
      </c>
      <c r="E30" s="520">
        <f t="shared" si="5"/>
        <v>0</v>
      </c>
      <c r="F30" s="520">
        <f t="shared" si="5"/>
        <v>0</v>
      </c>
      <c r="G30" s="520">
        <f t="shared" si="5"/>
        <v>0</v>
      </c>
      <c r="H30" s="520">
        <f>ROUND(H21*$C$27,0)</f>
        <v>0</v>
      </c>
      <c r="I30" s="521">
        <f t="shared" ref="I30:I33" si="6">SUM(D30:H30)</f>
        <v>0</v>
      </c>
      <c r="J30" s="495"/>
      <c r="K30" s="495"/>
    </row>
    <row r="31" spans="1:13" ht="20.100000000000001" hidden="1" customHeight="1" outlineLevel="1" x14ac:dyDescent="0.25">
      <c r="A31" s="495"/>
      <c r="B31" s="561" t="s">
        <v>622</v>
      </c>
      <c r="C31" s="562"/>
      <c r="D31" s="541">
        <f>(ROUND((D22-SUM(Year1!$H$193:$H$196)-Year1!$H$202)*$C$27,0))</f>
        <v>0</v>
      </c>
      <c r="E31" s="541">
        <f>(ROUND((E22-SUM(Year2!$H$193:$H$196)-Year2!$H$202)*$C$27,0))</f>
        <v>0</v>
      </c>
      <c r="F31" s="541">
        <f>(ROUND((F22-SUM(Year3!$H$193:$H$196)-Year3!$H$202)*$C$27,0))</f>
        <v>0</v>
      </c>
      <c r="G31" s="541">
        <f>(ROUND((G22-SUM(Year4!$H$193:$H$196)-Year4!$H$202)*$C$27,0))</f>
        <v>0</v>
      </c>
      <c r="H31" s="541">
        <f>(ROUND((H22-SUM(Year5!$H$193:$H$196)-Year5!$H$202)*$C$27,0))</f>
        <v>0</v>
      </c>
      <c r="I31" s="521">
        <f t="shared" si="6"/>
        <v>0</v>
      </c>
      <c r="J31" s="495"/>
      <c r="K31" s="495"/>
    </row>
    <row r="32" spans="1:13" ht="20.100000000000001" hidden="1" customHeight="1" outlineLevel="1" x14ac:dyDescent="0.25">
      <c r="A32" s="495"/>
      <c r="B32" s="561" t="s">
        <v>1314</v>
      </c>
      <c r="C32" s="562"/>
      <c r="D32" s="520">
        <f>(Year1!$H$221-SUM(Year1!$G$216:$G$220))*INDUSTRY!C27</f>
        <v>0</v>
      </c>
      <c r="E32" s="520">
        <v>0</v>
      </c>
      <c r="F32" s="520">
        <v>0</v>
      </c>
      <c r="G32" s="520">
        <v>0</v>
      </c>
      <c r="H32" s="520">
        <v>0</v>
      </c>
      <c r="I32" s="521">
        <f t="shared" si="6"/>
        <v>0</v>
      </c>
      <c r="J32" s="495"/>
      <c r="K32" s="495"/>
    </row>
    <row r="33" spans="1:11" ht="20.100000000000001" hidden="1" customHeight="1" outlineLevel="1" x14ac:dyDescent="0.25">
      <c r="A33" s="495"/>
      <c r="B33" s="561" t="s">
        <v>1315</v>
      </c>
      <c r="C33" s="562"/>
      <c r="D33" s="520">
        <f t="shared" si="5"/>
        <v>0</v>
      </c>
      <c r="E33" s="520">
        <f t="shared" si="5"/>
        <v>0</v>
      </c>
      <c r="F33" s="520">
        <f t="shared" si="5"/>
        <v>0</v>
      </c>
      <c r="G33" s="520">
        <f t="shared" si="5"/>
        <v>0</v>
      </c>
      <c r="H33" s="520">
        <f>ROUND(H24*$C$27,0)</f>
        <v>0</v>
      </c>
      <c r="I33" s="521">
        <f t="shared" si="6"/>
        <v>0</v>
      </c>
      <c r="J33" s="495"/>
      <c r="K33" s="495"/>
    </row>
    <row r="34" spans="1:11" ht="20.100000000000001" hidden="1" customHeight="1" outlineLevel="1" x14ac:dyDescent="0.25">
      <c r="A34" s="495"/>
      <c r="B34" s="559" t="s">
        <v>1319</v>
      </c>
      <c r="C34" s="560"/>
      <c r="D34" s="532">
        <f ca="1">SUM(D28:D33)</f>
        <v>0</v>
      </c>
      <c r="E34" s="532">
        <f>SUM(E28:E33)</f>
        <v>0</v>
      </c>
      <c r="F34" s="532">
        <f>SUM(F28:F33)</f>
        <v>0</v>
      </c>
      <c r="G34" s="532">
        <f>SUM(G28:G33)</f>
        <v>0</v>
      </c>
      <c r="H34" s="532">
        <f>SUM(H28:H33)</f>
        <v>0</v>
      </c>
      <c r="I34" s="533">
        <f ca="1">SUM(D34:H34)</f>
        <v>0</v>
      </c>
      <c r="J34" s="495"/>
      <c r="K34" s="495"/>
    </row>
    <row r="35" spans="1:11" ht="20.100000000000001" customHeight="1" collapsed="1" x14ac:dyDescent="0.25">
      <c r="A35" s="495"/>
      <c r="B35" s="495"/>
      <c r="C35" s="495"/>
      <c r="D35" s="495"/>
      <c r="E35" s="495"/>
      <c r="F35" s="495"/>
      <c r="G35" s="495"/>
      <c r="H35" s="495"/>
      <c r="I35" s="495"/>
      <c r="J35" s="495"/>
    </row>
  </sheetData>
  <mergeCells count="24">
    <mergeCell ref="B20:C20"/>
    <mergeCell ref="E2:G2"/>
    <mergeCell ref="E3:G3"/>
    <mergeCell ref="I3:I4"/>
    <mergeCell ref="E4:G4"/>
    <mergeCell ref="B10:C10"/>
    <mergeCell ref="B11:C11"/>
    <mergeCell ref="B12:C12"/>
    <mergeCell ref="B13:C13"/>
    <mergeCell ref="B14:C14"/>
    <mergeCell ref="B15:C15"/>
    <mergeCell ref="B19:C19"/>
    <mergeCell ref="B34:C34"/>
    <mergeCell ref="B21:C21"/>
    <mergeCell ref="B22:C22"/>
    <mergeCell ref="B23:C23"/>
    <mergeCell ref="B24:C24"/>
    <mergeCell ref="B25:C25"/>
    <mergeCell ref="B28:C28"/>
    <mergeCell ref="B29:C29"/>
    <mergeCell ref="B30:C30"/>
    <mergeCell ref="B31:C31"/>
    <mergeCell ref="B32:C32"/>
    <mergeCell ref="B33:C33"/>
  </mergeCells>
  <conditionalFormatting sqref="C27">
    <cfRule type="expression" dxfId="1" priority="2">
      <formula>#REF!="IDC #1 - NONE"</formula>
    </cfRule>
  </conditionalFormatting>
  <conditionalFormatting sqref="F16:H16">
    <cfRule type="expression" dxfId="0" priority="1">
      <formula>$E$8="N/A"</formula>
    </cfRule>
  </conditionalFormatting>
  <pageMargins left="0.7" right="0.7" top="0.75" bottom="0.75" header="0.3" footer="0.3"/>
  <ignoredErrors>
    <ignoredError sqref="E31:H3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47"/>
  </sheetPr>
  <dimension ref="A1:D44"/>
  <sheetViews>
    <sheetView zoomScaleNormal="100" workbookViewId="0">
      <selection activeCell="D12" sqref="D12"/>
    </sheetView>
  </sheetViews>
  <sheetFormatPr defaultRowHeight="12.75" x14ac:dyDescent="0.2"/>
  <cols>
    <col min="3" max="3" width="35.140625" customWidth="1"/>
    <col min="4" max="4" width="14.140625" customWidth="1"/>
  </cols>
  <sheetData>
    <row r="1" spans="1:4" x14ac:dyDescent="0.2">
      <c r="A1" t="s">
        <v>423</v>
      </c>
    </row>
    <row r="2" spans="1:4" x14ac:dyDescent="0.2">
      <c r="A2" t="s">
        <v>425</v>
      </c>
    </row>
    <row r="3" spans="1:4" x14ac:dyDescent="0.2">
      <c r="A3" s="6" t="s">
        <v>611</v>
      </c>
    </row>
    <row r="4" spans="1:4" x14ac:dyDescent="0.2">
      <c r="A4" s="59" t="s">
        <v>560</v>
      </c>
    </row>
    <row r="5" spans="1:4" x14ac:dyDescent="0.2">
      <c r="A5" s="3" t="s">
        <v>413</v>
      </c>
      <c r="B5" s="2"/>
      <c r="C5" s="2"/>
      <c r="D5" s="18"/>
    </row>
    <row r="6" spans="1:4" x14ac:dyDescent="0.2">
      <c r="A6" s="5"/>
      <c r="D6" s="17"/>
    </row>
    <row r="7" spans="1:4" x14ac:dyDescent="0.2">
      <c r="A7" s="5" t="s">
        <v>414</v>
      </c>
      <c r="D7" s="413">
        <v>0</v>
      </c>
    </row>
    <row r="8" spans="1:4" x14ac:dyDescent="0.2">
      <c r="A8" s="5" t="s">
        <v>415</v>
      </c>
      <c r="D8" s="101">
        <f ca="1">Year1!H230</f>
        <v>0</v>
      </c>
    </row>
    <row r="9" spans="1:4" x14ac:dyDescent="0.2">
      <c r="A9" s="5" t="s">
        <v>416</v>
      </c>
      <c r="D9" s="101">
        <f ca="1">D7-D8</f>
        <v>0</v>
      </c>
    </row>
    <row r="10" spans="1:4" x14ac:dyDescent="0.2">
      <c r="A10" s="5" t="s">
        <v>417</v>
      </c>
      <c r="D10" s="101">
        <f ca="1">D9</f>
        <v>0</v>
      </c>
    </row>
    <row r="11" spans="1:4" x14ac:dyDescent="0.2">
      <c r="A11" s="114" t="s">
        <v>558</v>
      </c>
      <c r="D11" s="117">
        <f ca="1">D10/12</f>
        <v>0</v>
      </c>
    </row>
    <row r="12" spans="1:4" x14ac:dyDescent="0.2">
      <c r="A12" s="115" t="s">
        <v>559</v>
      </c>
      <c r="D12" s="119">
        <f ca="1">D11/(1+((Year1!G229)))</f>
        <v>0</v>
      </c>
    </row>
    <row r="13" spans="1:4" x14ac:dyDescent="0.2">
      <c r="A13" s="3" t="s">
        <v>419</v>
      </c>
      <c r="B13" s="2"/>
      <c r="C13" s="2"/>
      <c r="D13" s="18"/>
    </row>
    <row r="14" spans="1:4" x14ac:dyDescent="0.2">
      <c r="A14" s="5"/>
      <c r="D14" s="17"/>
    </row>
    <row r="15" spans="1:4" x14ac:dyDescent="0.2">
      <c r="A15" s="5" t="s">
        <v>414</v>
      </c>
      <c r="D15" s="413">
        <v>0</v>
      </c>
    </row>
    <row r="16" spans="1:4" x14ac:dyDescent="0.2">
      <c r="A16" s="5" t="s">
        <v>415</v>
      </c>
      <c r="D16" s="101">
        <f>Year2!H230</f>
        <v>0</v>
      </c>
    </row>
    <row r="17" spans="1:4" x14ac:dyDescent="0.2">
      <c r="A17" s="5" t="s">
        <v>416</v>
      </c>
      <c r="D17" s="101">
        <f>D15-D16</f>
        <v>0</v>
      </c>
    </row>
    <row r="18" spans="1:4" x14ac:dyDescent="0.2">
      <c r="A18" s="5" t="s">
        <v>417</v>
      </c>
      <c r="D18" s="101">
        <f>D17</f>
        <v>0</v>
      </c>
    </row>
    <row r="19" spans="1:4" x14ac:dyDescent="0.2">
      <c r="A19" s="114" t="s">
        <v>558</v>
      </c>
      <c r="D19" s="118">
        <f>D18/12</f>
        <v>0</v>
      </c>
    </row>
    <row r="20" spans="1:4" x14ac:dyDescent="0.2">
      <c r="A20" s="115" t="s">
        <v>559</v>
      </c>
      <c r="D20" s="119">
        <f>D19/(1+((Year2!G229)))</f>
        <v>0</v>
      </c>
    </row>
    <row r="21" spans="1:4" x14ac:dyDescent="0.2">
      <c r="A21" s="3" t="s">
        <v>420</v>
      </c>
      <c r="B21" s="2"/>
      <c r="C21" s="2"/>
      <c r="D21" s="18"/>
    </row>
    <row r="22" spans="1:4" x14ac:dyDescent="0.2">
      <c r="A22" s="5"/>
      <c r="D22" s="17"/>
    </row>
    <row r="23" spans="1:4" x14ac:dyDescent="0.2">
      <c r="A23" s="5" t="s">
        <v>414</v>
      </c>
      <c r="D23" s="413">
        <v>0</v>
      </c>
    </row>
    <row r="24" spans="1:4" x14ac:dyDescent="0.2">
      <c r="A24" s="5" t="s">
        <v>415</v>
      </c>
      <c r="D24" s="101">
        <f>Year3!H230</f>
        <v>0</v>
      </c>
    </row>
    <row r="25" spans="1:4" x14ac:dyDescent="0.2">
      <c r="A25" s="5" t="s">
        <v>416</v>
      </c>
      <c r="D25" s="101">
        <f>D23-D24</f>
        <v>0</v>
      </c>
    </row>
    <row r="26" spans="1:4" x14ac:dyDescent="0.2">
      <c r="A26" s="5" t="s">
        <v>417</v>
      </c>
      <c r="D26" s="101">
        <f>D25</f>
        <v>0</v>
      </c>
    </row>
    <row r="27" spans="1:4" x14ac:dyDescent="0.2">
      <c r="A27" s="114" t="s">
        <v>558</v>
      </c>
      <c r="D27" s="117">
        <f>D26/12</f>
        <v>0</v>
      </c>
    </row>
    <row r="28" spans="1:4" x14ac:dyDescent="0.2">
      <c r="A28" s="115" t="s">
        <v>559</v>
      </c>
      <c r="D28" s="119">
        <f>D27/(1+((Year3!G229)))</f>
        <v>0</v>
      </c>
    </row>
    <row r="29" spans="1:4" x14ac:dyDescent="0.2">
      <c r="A29" s="3" t="s">
        <v>421</v>
      </c>
      <c r="B29" s="2"/>
      <c r="C29" s="2"/>
      <c r="D29" s="18"/>
    </row>
    <row r="30" spans="1:4" x14ac:dyDescent="0.2">
      <c r="A30" s="5"/>
      <c r="D30" s="17"/>
    </row>
    <row r="31" spans="1:4" x14ac:dyDescent="0.2">
      <c r="A31" s="5" t="s">
        <v>414</v>
      </c>
      <c r="D31" s="413">
        <v>0</v>
      </c>
    </row>
    <row r="32" spans="1:4" x14ac:dyDescent="0.2">
      <c r="A32" s="5" t="s">
        <v>415</v>
      </c>
      <c r="D32" s="101">
        <f>Year4!H230</f>
        <v>0</v>
      </c>
    </row>
    <row r="33" spans="1:4" x14ac:dyDescent="0.2">
      <c r="A33" s="5" t="s">
        <v>416</v>
      </c>
      <c r="D33" s="101">
        <f>D31-D32</f>
        <v>0</v>
      </c>
    </row>
    <row r="34" spans="1:4" x14ac:dyDescent="0.2">
      <c r="A34" s="5" t="s">
        <v>417</v>
      </c>
      <c r="D34" s="101">
        <f>D33</f>
        <v>0</v>
      </c>
    </row>
    <row r="35" spans="1:4" x14ac:dyDescent="0.2">
      <c r="A35" s="114" t="s">
        <v>558</v>
      </c>
      <c r="D35" s="117">
        <f>D34/12</f>
        <v>0</v>
      </c>
    </row>
    <row r="36" spans="1:4" x14ac:dyDescent="0.2">
      <c r="A36" s="115" t="s">
        <v>559</v>
      </c>
      <c r="D36" s="119">
        <f>D35/(1+((Year4!G229)))</f>
        <v>0</v>
      </c>
    </row>
    <row r="37" spans="1:4" x14ac:dyDescent="0.2">
      <c r="A37" s="3" t="s">
        <v>422</v>
      </c>
      <c r="B37" s="2"/>
      <c r="C37" s="2"/>
      <c r="D37" s="18"/>
    </row>
    <row r="38" spans="1:4" x14ac:dyDescent="0.2">
      <c r="A38" s="5"/>
      <c r="D38" s="17"/>
    </row>
    <row r="39" spans="1:4" x14ac:dyDescent="0.2">
      <c r="A39" s="5" t="s">
        <v>414</v>
      </c>
      <c r="D39" s="414">
        <v>0</v>
      </c>
    </row>
    <row r="40" spans="1:4" x14ac:dyDescent="0.2">
      <c r="A40" s="5" t="s">
        <v>415</v>
      </c>
      <c r="D40" s="99">
        <f>Year5!H230</f>
        <v>0</v>
      </c>
    </row>
    <row r="41" spans="1:4" x14ac:dyDescent="0.2">
      <c r="A41" s="5" t="s">
        <v>416</v>
      </c>
      <c r="D41" s="99">
        <f>D39-D40</f>
        <v>0</v>
      </c>
    </row>
    <row r="42" spans="1:4" x14ac:dyDescent="0.2">
      <c r="A42" s="5" t="s">
        <v>417</v>
      </c>
      <c r="D42" s="99">
        <f>D41</f>
        <v>0</v>
      </c>
    </row>
    <row r="43" spans="1:4" x14ac:dyDescent="0.2">
      <c r="A43" s="114" t="s">
        <v>558</v>
      </c>
      <c r="D43" s="118">
        <f>D42/12</f>
        <v>0</v>
      </c>
    </row>
    <row r="44" spans="1:4" x14ac:dyDescent="0.2">
      <c r="A44" s="116" t="s">
        <v>559</v>
      </c>
      <c r="B44" s="34"/>
      <c r="C44" s="34"/>
      <c r="D44" s="119">
        <f>D43/(1+((Year5!G229)))</f>
        <v>0</v>
      </c>
    </row>
  </sheetData>
  <phoneticPr fontId="4" type="noConversion"/>
  <pageMargins left="0.75" right="0.75" top="1" bottom="1" header="0.5" footer="0.5"/>
  <pageSetup scale="79" orientation="landscape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26"/>
  </sheetPr>
  <dimension ref="A1:S132"/>
  <sheetViews>
    <sheetView zoomScaleNormal="100" workbookViewId="0">
      <selection activeCell="P31" sqref="P31"/>
    </sheetView>
  </sheetViews>
  <sheetFormatPr defaultRowHeight="12.75" x14ac:dyDescent="0.2"/>
  <cols>
    <col min="1" max="1" width="27.42578125" customWidth="1"/>
    <col min="2" max="2" width="13.7109375" customWidth="1"/>
    <col min="3" max="3" width="10.5703125" customWidth="1"/>
    <col min="4" max="4" width="15" customWidth="1"/>
    <col min="5" max="5" width="9.7109375" customWidth="1"/>
    <col min="6" max="6" width="11.42578125" customWidth="1"/>
    <col min="7" max="7" width="8.5703125" customWidth="1"/>
    <col min="8" max="8" width="23" customWidth="1"/>
    <col min="9" max="9" width="6.140625" customWidth="1"/>
    <col min="10" max="10" width="11.42578125" customWidth="1"/>
    <col min="11" max="11" width="7.85546875" customWidth="1"/>
    <col min="12" max="12" width="11.7109375" customWidth="1"/>
    <col min="13" max="13" width="6.42578125" customWidth="1"/>
    <col min="14" max="14" width="12" customWidth="1"/>
    <col min="15" max="15" width="5.5703125" customWidth="1"/>
    <col min="16" max="16" width="11.5703125" customWidth="1"/>
    <col min="17" max="17" width="11.42578125" customWidth="1"/>
    <col min="18" max="18" width="14.140625" customWidth="1"/>
    <col min="19" max="19" width="12" customWidth="1"/>
  </cols>
  <sheetData>
    <row r="1" spans="1:14" ht="15.75" x14ac:dyDescent="0.25">
      <c r="A1" s="40" t="s">
        <v>3</v>
      </c>
      <c r="C1" s="46" t="s">
        <v>1369</v>
      </c>
      <c r="D1" s="45"/>
      <c r="E1" s="45"/>
      <c r="F1" s="45"/>
      <c r="G1" s="45"/>
      <c r="H1" s="45"/>
    </row>
    <row r="2" spans="1:14" x14ac:dyDescent="0.2">
      <c r="A2" s="360" t="s">
        <v>803</v>
      </c>
      <c r="B2" s="359"/>
      <c r="C2" s="359"/>
      <c r="D2" s="359"/>
      <c r="E2" s="361">
        <v>0.56999999999999995</v>
      </c>
      <c r="H2" s="363" t="s">
        <v>1387</v>
      </c>
      <c r="I2" s="358"/>
      <c r="J2" s="358"/>
      <c r="K2" s="358"/>
      <c r="L2" s="364">
        <v>18808</v>
      </c>
      <c r="M2" s="461" t="s">
        <v>1188</v>
      </c>
      <c r="N2" s="358"/>
    </row>
    <row r="3" spans="1:14" x14ac:dyDescent="0.2">
      <c r="A3" s="360" t="s">
        <v>802</v>
      </c>
      <c r="B3" s="359"/>
      <c r="C3" s="359"/>
      <c r="D3" s="359"/>
      <c r="E3" s="361">
        <v>0.59</v>
      </c>
      <c r="H3" s="357" t="s">
        <v>1388</v>
      </c>
      <c r="I3" s="358"/>
      <c r="J3" s="358"/>
      <c r="K3" s="358"/>
      <c r="L3" s="358"/>
      <c r="M3" s="358"/>
      <c r="N3" s="358"/>
    </row>
    <row r="4" spans="1:14" x14ac:dyDescent="0.2">
      <c r="A4" s="360" t="s">
        <v>1321</v>
      </c>
      <c r="B4" s="359"/>
      <c r="C4" s="359"/>
      <c r="D4" s="359"/>
      <c r="E4" s="361">
        <v>0.60499999999999998</v>
      </c>
      <c r="H4" s="357" t="s">
        <v>1389</v>
      </c>
      <c r="I4" s="358"/>
      <c r="J4" s="358"/>
      <c r="K4" s="358"/>
      <c r="L4" s="358"/>
      <c r="M4" s="358"/>
      <c r="N4" s="358"/>
    </row>
    <row r="5" spans="1:14" x14ac:dyDescent="0.2">
      <c r="A5" s="359" t="s">
        <v>541</v>
      </c>
      <c r="B5" s="359"/>
      <c r="C5" s="359"/>
      <c r="D5" s="359"/>
      <c r="E5" s="361">
        <v>0.26</v>
      </c>
      <c r="H5" s="358"/>
      <c r="I5" s="358"/>
      <c r="J5" s="358"/>
      <c r="K5" s="358"/>
      <c r="L5" s="358"/>
      <c r="M5" s="358"/>
      <c r="N5" s="358"/>
    </row>
    <row r="6" spans="1:14" ht="13.5" thickBot="1" x14ac:dyDescent="0.25">
      <c r="A6" s="359" t="s">
        <v>108</v>
      </c>
      <c r="B6" s="359"/>
      <c r="C6" s="359"/>
      <c r="D6" s="359"/>
      <c r="E6" s="361">
        <v>0</v>
      </c>
      <c r="H6" s="358"/>
      <c r="I6" s="358"/>
      <c r="J6" s="358"/>
      <c r="K6" s="358"/>
      <c r="L6" s="358"/>
      <c r="M6" s="358"/>
      <c r="N6" s="358"/>
    </row>
    <row r="7" spans="1:14" ht="13.5" thickBot="1" x14ac:dyDescent="0.25">
      <c r="A7" s="359" t="s">
        <v>109</v>
      </c>
      <c r="B7" s="359"/>
      <c r="C7" s="359"/>
      <c r="D7" s="359"/>
      <c r="E7" s="362">
        <v>0.35</v>
      </c>
      <c r="H7" s="358"/>
      <c r="I7" s="358"/>
      <c r="J7" s="358"/>
      <c r="K7" s="358"/>
      <c r="L7" s="358"/>
      <c r="M7" s="358"/>
      <c r="N7" s="358"/>
    </row>
    <row r="8" spans="1:14" ht="47.25" customHeight="1" x14ac:dyDescent="0.25">
      <c r="A8" s="572" t="s">
        <v>1269</v>
      </c>
      <c r="B8" s="572"/>
      <c r="C8" s="572"/>
      <c r="D8" s="36" t="s">
        <v>641</v>
      </c>
      <c r="E8" s="37"/>
      <c r="F8" s="36" t="s">
        <v>662</v>
      </c>
      <c r="G8" s="37"/>
      <c r="H8" s="36" t="s">
        <v>798</v>
      </c>
      <c r="I8" s="37"/>
      <c r="J8" s="36" t="s">
        <v>801</v>
      </c>
      <c r="K8" s="37"/>
      <c r="L8" s="36" t="s">
        <v>875</v>
      </c>
      <c r="M8" s="37"/>
      <c r="N8" s="36" t="s">
        <v>1128</v>
      </c>
    </row>
    <row r="9" spans="1:14" x14ac:dyDescent="0.2">
      <c r="A9" s="324"/>
      <c r="B9" s="324"/>
      <c r="C9" s="325" t="s">
        <v>55</v>
      </c>
      <c r="D9" s="325" t="s">
        <v>805</v>
      </c>
      <c r="E9" s="326" t="s">
        <v>66</v>
      </c>
      <c r="F9" s="325" t="s">
        <v>836</v>
      </c>
      <c r="G9" s="326" t="s">
        <v>66</v>
      </c>
      <c r="H9" s="325" t="s">
        <v>1050</v>
      </c>
      <c r="I9" s="326" t="s">
        <v>66</v>
      </c>
      <c r="J9" s="325" t="s">
        <v>1131</v>
      </c>
      <c r="K9" s="326" t="s">
        <v>66</v>
      </c>
      <c r="L9" s="325" t="s">
        <v>1270</v>
      </c>
      <c r="M9" s="326" t="s">
        <v>66</v>
      </c>
      <c r="N9" s="325" t="s">
        <v>1367</v>
      </c>
    </row>
    <row r="10" spans="1:14" x14ac:dyDescent="0.2">
      <c r="A10" s="327" t="s">
        <v>258</v>
      </c>
      <c r="B10" s="327"/>
      <c r="C10" s="327">
        <v>1</v>
      </c>
      <c r="D10" s="328">
        <v>5760.75</v>
      </c>
      <c r="E10" s="418">
        <v>6.4000000000000001E-2</v>
      </c>
      <c r="F10" s="328">
        <f t="shared" ref="F10:H15" si="0">ROUND(D10*1.064,0)</f>
        <v>6129</v>
      </c>
      <c r="G10" s="418">
        <v>6.4000000000000001E-2</v>
      </c>
      <c r="H10" s="328">
        <f t="shared" si="0"/>
        <v>6521</v>
      </c>
      <c r="I10" s="418">
        <v>6.4000000000000001E-2</v>
      </c>
      <c r="J10" s="329">
        <f t="shared" ref="J10:J15" si="1">ROUND(H10*1.064,0)</f>
        <v>6938</v>
      </c>
      <c r="K10" s="418">
        <v>6.4000000000000001E-2</v>
      </c>
      <c r="L10" s="329">
        <f t="shared" ref="L10:L15" si="2">ROUND(J10*1.064,0)</f>
        <v>7382</v>
      </c>
      <c r="M10" s="418">
        <v>6.4000000000000001E-2</v>
      </c>
      <c r="N10" s="329">
        <f t="shared" ref="N10:N15" si="3">ROUND(L10*1.064,0)</f>
        <v>7854</v>
      </c>
    </row>
    <row r="11" spans="1:14" x14ac:dyDescent="0.2">
      <c r="A11" s="327" t="s">
        <v>192</v>
      </c>
      <c r="B11" s="327"/>
      <c r="C11" s="327">
        <v>2</v>
      </c>
      <c r="D11" s="328">
        <v>6207.25</v>
      </c>
      <c r="E11" s="418">
        <v>6.4000000000000001E-2</v>
      </c>
      <c r="F11" s="328">
        <f t="shared" si="0"/>
        <v>6605</v>
      </c>
      <c r="G11" s="418">
        <v>6.4000000000000001E-2</v>
      </c>
      <c r="H11" s="328">
        <f t="shared" si="0"/>
        <v>7028</v>
      </c>
      <c r="I11" s="418">
        <v>6.4000000000000001E-2</v>
      </c>
      <c r="J11" s="329">
        <f t="shared" si="1"/>
        <v>7478</v>
      </c>
      <c r="K11" s="418">
        <v>6.4000000000000001E-2</v>
      </c>
      <c r="L11" s="329">
        <f t="shared" si="2"/>
        <v>7957</v>
      </c>
      <c r="M11" s="418">
        <v>6.4000000000000001E-2</v>
      </c>
      <c r="N11" s="329">
        <f t="shared" si="3"/>
        <v>8466</v>
      </c>
    </row>
    <row r="12" spans="1:14" x14ac:dyDescent="0.2">
      <c r="A12" s="327" t="s">
        <v>193</v>
      </c>
      <c r="B12" s="327"/>
      <c r="C12" s="327">
        <v>3</v>
      </c>
      <c r="D12" s="328">
        <v>6688.33</v>
      </c>
      <c r="E12" s="418">
        <v>6.4000000000000001E-2</v>
      </c>
      <c r="F12" s="328">
        <f t="shared" si="0"/>
        <v>7116</v>
      </c>
      <c r="G12" s="418">
        <v>6.4000000000000001E-2</v>
      </c>
      <c r="H12" s="328">
        <f t="shared" si="0"/>
        <v>7571</v>
      </c>
      <c r="I12" s="418">
        <v>6.4000000000000001E-2</v>
      </c>
      <c r="J12" s="329">
        <f t="shared" si="1"/>
        <v>8056</v>
      </c>
      <c r="K12" s="418">
        <v>6.4000000000000001E-2</v>
      </c>
      <c r="L12" s="329">
        <f t="shared" si="2"/>
        <v>8572</v>
      </c>
      <c r="M12" s="418">
        <v>6.4000000000000001E-2</v>
      </c>
      <c r="N12" s="329">
        <f t="shared" si="3"/>
        <v>9121</v>
      </c>
    </row>
    <row r="13" spans="1:14" x14ac:dyDescent="0.2">
      <c r="A13" s="327" t="s">
        <v>194</v>
      </c>
      <c r="B13" s="327"/>
      <c r="C13" s="327">
        <v>4</v>
      </c>
      <c r="D13" s="328">
        <v>7206.75</v>
      </c>
      <c r="E13" s="418">
        <v>6.4000000000000001E-2</v>
      </c>
      <c r="F13" s="329">
        <f t="shared" si="0"/>
        <v>7668</v>
      </c>
      <c r="G13" s="418">
        <v>6.4000000000000001E-2</v>
      </c>
      <c r="H13" s="329">
        <f t="shared" si="0"/>
        <v>8159</v>
      </c>
      <c r="I13" s="418">
        <v>6.4000000000000001E-2</v>
      </c>
      <c r="J13" s="329">
        <f t="shared" si="1"/>
        <v>8681</v>
      </c>
      <c r="K13" s="418">
        <v>6.4000000000000001E-2</v>
      </c>
      <c r="L13" s="329">
        <f t="shared" si="2"/>
        <v>9237</v>
      </c>
      <c r="M13" s="418">
        <v>6.4000000000000001E-2</v>
      </c>
      <c r="N13" s="329">
        <f t="shared" si="3"/>
        <v>9828</v>
      </c>
    </row>
    <row r="14" spans="1:14" x14ac:dyDescent="0.2">
      <c r="A14" s="327" t="s">
        <v>195</v>
      </c>
      <c r="B14" s="327"/>
      <c r="C14" s="330">
        <v>5</v>
      </c>
      <c r="D14" s="328">
        <v>7765.33</v>
      </c>
      <c r="E14" s="418">
        <v>6.4000000000000001E-2</v>
      </c>
      <c r="F14" s="328">
        <f t="shared" si="0"/>
        <v>8262</v>
      </c>
      <c r="G14" s="418">
        <v>6.4000000000000001E-2</v>
      </c>
      <c r="H14" s="328">
        <f t="shared" si="0"/>
        <v>8791</v>
      </c>
      <c r="I14" s="418">
        <v>6.4000000000000001E-2</v>
      </c>
      <c r="J14" s="329">
        <f t="shared" si="1"/>
        <v>9354</v>
      </c>
      <c r="K14" s="418">
        <v>6.4000000000000001E-2</v>
      </c>
      <c r="L14" s="329">
        <f t="shared" si="2"/>
        <v>9953</v>
      </c>
      <c r="M14" s="418">
        <v>6.4000000000000001E-2</v>
      </c>
      <c r="N14" s="329">
        <f t="shared" si="3"/>
        <v>10590</v>
      </c>
    </row>
    <row r="15" spans="1:14" x14ac:dyDescent="0.2">
      <c r="A15" s="327" t="s">
        <v>196</v>
      </c>
      <c r="B15" s="327"/>
      <c r="C15" s="327">
        <v>6</v>
      </c>
      <c r="D15" s="328">
        <v>8367.17</v>
      </c>
      <c r="E15" s="418">
        <v>6.4000000000000001E-2</v>
      </c>
      <c r="F15" s="328">
        <f t="shared" si="0"/>
        <v>8903</v>
      </c>
      <c r="G15" s="418">
        <v>6.4000000000000001E-2</v>
      </c>
      <c r="H15" s="328">
        <f t="shared" si="0"/>
        <v>9473</v>
      </c>
      <c r="I15" s="418">
        <v>6.4000000000000001E-2</v>
      </c>
      <c r="J15" s="329">
        <f t="shared" si="1"/>
        <v>10079</v>
      </c>
      <c r="K15" s="418">
        <v>6.4000000000000001E-2</v>
      </c>
      <c r="L15" s="329">
        <f t="shared" si="2"/>
        <v>10724</v>
      </c>
      <c r="M15" s="418">
        <v>6.4000000000000001E-2</v>
      </c>
      <c r="N15" s="329">
        <f t="shared" si="3"/>
        <v>11410</v>
      </c>
    </row>
    <row r="16" spans="1:14" ht="15.75" x14ac:dyDescent="0.25">
      <c r="A16" s="39" t="s">
        <v>65</v>
      </c>
      <c r="B16" s="100"/>
      <c r="C16" s="579" t="s">
        <v>641</v>
      </c>
      <c r="D16" s="580"/>
      <c r="E16" s="579" t="s">
        <v>662</v>
      </c>
      <c r="F16" s="580"/>
      <c r="G16" s="579" t="s">
        <v>798</v>
      </c>
      <c r="H16" s="580"/>
      <c r="I16" s="579" t="s">
        <v>801</v>
      </c>
      <c r="J16" s="580"/>
      <c r="K16" s="579" t="s">
        <v>801</v>
      </c>
      <c r="L16" s="580"/>
      <c r="M16" s="579" t="s">
        <v>875</v>
      </c>
      <c r="N16" s="580"/>
    </row>
    <row r="17" spans="1:19" x14ac:dyDescent="0.2">
      <c r="A17" s="331"/>
      <c r="B17" s="332"/>
      <c r="C17" s="333" t="s">
        <v>66</v>
      </c>
      <c r="D17" s="334" t="s">
        <v>36</v>
      </c>
      <c r="E17" s="333" t="s">
        <v>66</v>
      </c>
      <c r="F17" s="334" t="s">
        <v>36</v>
      </c>
      <c r="G17" s="333" t="s">
        <v>66</v>
      </c>
      <c r="H17" s="334" t="s">
        <v>36</v>
      </c>
      <c r="I17" s="333" t="s">
        <v>66</v>
      </c>
      <c r="J17" s="335" t="s">
        <v>36</v>
      </c>
      <c r="K17" s="333" t="s">
        <v>66</v>
      </c>
      <c r="L17" s="336" t="s">
        <v>36</v>
      </c>
      <c r="M17" s="333" t="s">
        <v>66</v>
      </c>
      <c r="N17" s="336" t="s">
        <v>36</v>
      </c>
      <c r="P17" s="38"/>
      <c r="Q17" s="38"/>
    </row>
    <row r="18" spans="1:19" x14ac:dyDescent="0.2">
      <c r="A18" s="337" t="s">
        <v>483</v>
      </c>
      <c r="B18" s="338"/>
      <c r="C18" s="339"/>
      <c r="D18" s="340">
        <v>627</v>
      </c>
      <c r="E18" s="339">
        <v>0.04</v>
      </c>
      <c r="F18" s="340">
        <f>ROUND(D18*(1+E18),0)</f>
        <v>652</v>
      </c>
      <c r="G18" s="339">
        <v>0.04</v>
      </c>
      <c r="H18" s="340">
        <f>ROUND(F18*(1+G18),0)</f>
        <v>678</v>
      </c>
      <c r="I18" s="339">
        <v>0.04</v>
      </c>
      <c r="J18" s="340">
        <f>ROUND(H18*(1+I18),0)</f>
        <v>705</v>
      </c>
      <c r="K18" s="339">
        <v>0.04</v>
      </c>
      <c r="L18" s="340">
        <f>ROUND(J18*(1+K18),0)</f>
        <v>733</v>
      </c>
      <c r="M18" s="339">
        <v>0.04</v>
      </c>
      <c r="N18" s="340">
        <f>ROUND(L18*(1+M18),0)</f>
        <v>762</v>
      </c>
      <c r="P18" s="38"/>
      <c r="Q18" s="128"/>
      <c r="R18" s="62"/>
      <c r="S18" s="62"/>
    </row>
    <row r="19" spans="1:19" x14ac:dyDescent="0.2">
      <c r="A19" s="337" t="s">
        <v>1259</v>
      </c>
      <c r="B19" s="338"/>
      <c r="C19" s="339"/>
      <c r="D19" s="340">
        <v>130</v>
      </c>
      <c r="E19" s="339">
        <v>0.04</v>
      </c>
      <c r="F19" s="340">
        <f>ROUND(D19*(1+E19),0)</f>
        <v>135</v>
      </c>
      <c r="G19" s="339">
        <v>0.04</v>
      </c>
      <c r="H19" s="340">
        <f>ROUND(F19*(1+G19),0)</f>
        <v>140</v>
      </c>
      <c r="I19" s="339">
        <v>0.04</v>
      </c>
      <c r="J19" s="340">
        <f>ROUND(H19*(1+I19),0)</f>
        <v>146</v>
      </c>
      <c r="K19" s="339">
        <v>0.04</v>
      </c>
      <c r="L19" s="340">
        <f>ROUND(J19*(1+K19),0)</f>
        <v>152</v>
      </c>
      <c r="M19" s="339">
        <v>0.04</v>
      </c>
      <c r="N19" s="340">
        <f>ROUND(L19*(1+M19),0)</f>
        <v>158</v>
      </c>
      <c r="P19" s="38"/>
      <c r="Q19" s="128"/>
      <c r="R19" s="62"/>
      <c r="S19" s="62"/>
    </row>
    <row r="20" spans="1:19" x14ac:dyDescent="0.2">
      <c r="A20" s="337" t="s">
        <v>484</v>
      </c>
      <c r="B20" s="338"/>
      <c r="C20" s="339"/>
      <c r="D20" s="340">
        <v>6381</v>
      </c>
      <c r="E20" s="339">
        <v>0.04</v>
      </c>
      <c r="F20" s="340">
        <f t="shared" ref="F20:H23" si="4">ROUND(D20*(1+E20),0)</f>
        <v>6636</v>
      </c>
      <c r="G20" s="339">
        <v>0.04</v>
      </c>
      <c r="H20" s="340">
        <f t="shared" si="4"/>
        <v>6901</v>
      </c>
      <c r="I20" s="339">
        <v>0.04</v>
      </c>
      <c r="J20" s="340">
        <f t="shared" ref="J20:J23" si="5">ROUND(H20*(1+I20),0)</f>
        <v>7177</v>
      </c>
      <c r="K20" s="339">
        <v>0.04</v>
      </c>
      <c r="L20" s="340">
        <f t="shared" ref="L20:L23" si="6">ROUND(J20*(1+K20),0)</f>
        <v>7464</v>
      </c>
      <c r="M20" s="339">
        <v>0.04</v>
      </c>
      <c r="N20" s="340">
        <f t="shared" ref="N20:N23" si="7">ROUND(L20*(1+M20),0)</f>
        <v>7763</v>
      </c>
      <c r="P20" s="38"/>
      <c r="Q20" s="417"/>
      <c r="R20" s="62"/>
      <c r="S20" s="62"/>
    </row>
    <row r="21" spans="1:19" x14ac:dyDescent="0.2">
      <c r="A21" s="337" t="s">
        <v>67</v>
      </c>
      <c r="B21" s="338"/>
      <c r="C21" s="339"/>
      <c r="D21" s="340">
        <v>820</v>
      </c>
      <c r="E21" s="339">
        <v>0.04</v>
      </c>
      <c r="F21" s="340">
        <f t="shared" si="4"/>
        <v>853</v>
      </c>
      <c r="G21" s="339">
        <v>0.04</v>
      </c>
      <c r="H21" s="340">
        <f t="shared" si="4"/>
        <v>887</v>
      </c>
      <c r="I21" s="339">
        <v>0.04</v>
      </c>
      <c r="J21" s="340">
        <f t="shared" si="5"/>
        <v>922</v>
      </c>
      <c r="K21" s="339">
        <v>0.04</v>
      </c>
      <c r="L21" s="340">
        <f t="shared" si="6"/>
        <v>959</v>
      </c>
      <c r="M21" s="339">
        <v>0.04</v>
      </c>
      <c r="N21" s="340">
        <f t="shared" si="7"/>
        <v>997</v>
      </c>
      <c r="P21" s="38"/>
      <c r="Q21" s="128"/>
      <c r="R21" s="62"/>
      <c r="S21" s="62"/>
    </row>
    <row r="22" spans="1:19" x14ac:dyDescent="0.2">
      <c r="A22" s="337" t="s">
        <v>68</v>
      </c>
      <c r="B22" s="338"/>
      <c r="C22" s="339"/>
      <c r="D22" s="340">
        <v>105</v>
      </c>
      <c r="E22" s="339">
        <v>0.04</v>
      </c>
      <c r="F22" s="340">
        <f t="shared" si="4"/>
        <v>109</v>
      </c>
      <c r="G22" s="339">
        <v>0.04</v>
      </c>
      <c r="H22" s="340">
        <f t="shared" si="4"/>
        <v>113</v>
      </c>
      <c r="I22" s="339">
        <v>0.04</v>
      </c>
      <c r="J22" s="340">
        <f t="shared" si="5"/>
        <v>118</v>
      </c>
      <c r="K22" s="339">
        <v>0.04</v>
      </c>
      <c r="L22" s="340">
        <f t="shared" si="6"/>
        <v>123</v>
      </c>
      <c r="M22" s="339">
        <v>0.04</v>
      </c>
      <c r="N22" s="340">
        <f t="shared" si="7"/>
        <v>128</v>
      </c>
      <c r="P22" s="38"/>
      <c r="Q22" s="128"/>
      <c r="R22" s="62"/>
      <c r="S22" s="62"/>
    </row>
    <row r="23" spans="1:19" x14ac:dyDescent="0.2">
      <c r="A23" s="337" t="s">
        <v>69</v>
      </c>
      <c r="B23" s="338"/>
      <c r="C23" s="339"/>
      <c r="D23" s="340">
        <v>3221</v>
      </c>
      <c r="E23" s="339">
        <v>0.04</v>
      </c>
      <c r="F23" s="340">
        <f t="shared" si="4"/>
        <v>3350</v>
      </c>
      <c r="G23" s="339">
        <v>0.04</v>
      </c>
      <c r="H23" s="340">
        <f t="shared" si="4"/>
        <v>3484</v>
      </c>
      <c r="I23" s="339">
        <v>0.04</v>
      </c>
      <c r="J23" s="340">
        <f t="shared" si="5"/>
        <v>3623</v>
      </c>
      <c r="K23" s="339">
        <v>0.04</v>
      </c>
      <c r="L23" s="340">
        <f t="shared" si="6"/>
        <v>3768</v>
      </c>
      <c r="M23" s="339">
        <v>0.04</v>
      </c>
      <c r="N23" s="340">
        <f t="shared" si="7"/>
        <v>3919</v>
      </c>
      <c r="P23" s="38"/>
      <c r="Q23" s="128"/>
      <c r="R23" s="62"/>
      <c r="S23" s="62"/>
    </row>
    <row r="24" spans="1:19" x14ac:dyDescent="0.2">
      <c r="A24" s="341"/>
      <c r="B24" s="331"/>
      <c r="C24" s="342"/>
      <c r="D24" s="343"/>
      <c r="E24" s="342"/>
      <c r="F24" s="343"/>
      <c r="G24" s="342"/>
      <c r="H24" s="343"/>
      <c r="I24" s="221"/>
      <c r="J24" s="344"/>
      <c r="K24" s="221"/>
      <c r="L24" s="344"/>
      <c r="M24" s="221"/>
      <c r="N24" s="344"/>
      <c r="P24" s="38"/>
      <c r="Q24" s="35"/>
      <c r="R24" s="129"/>
      <c r="S24" s="129"/>
    </row>
    <row r="25" spans="1:19" x14ac:dyDescent="0.2">
      <c r="A25" s="337" t="s">
        <v>70</v>
      </c>
      <c r="B25" s="338"/>
      <c r="C25" s="345"/>
      <c r="D25" s="340">
        <f>SUM(D18:D23)</f>
        <v>11284</v>
      </c>
      <c r="E25" s="339"/>
      <c r="F25" s="340">
        <f>SUM(F18:F23)</f>
        <v>11735</v>
      </c>
      <c r="G25" s="345"/>
      <c r="H25" s="340">
        <f>SUM(H18:H23)</f>
        <v>12203</v>
      </c>
      <c r="I25" s="221"/>
      <c r="J25" s="340">
        <f>SUM(J18:J23)</f>
        <v>12691</v>
      </c>
      <c r="K25" s="221"/>
      <c r="L25" s="340">
        <f>SUM(L18:L23)</f>
        <v>13199</v>
      </c>
      <c r="M25" s="221"/>
      <c r="N25" s="340">
        <f>SUM(N18:N23)</f>
        <v>13727</v>
      </c>
      <c r="P25" s="38"/>
      <c r="Q25" s="63"/>
      <c r="R25" s="62"/>
      <c r="S25" s="62"/>
    </row>
    <row r="26" spans="1:19" x14ac:dyDescent="0.2">
      <c r="A26" s="337" t="s">
        <v>71</v>
      </c>
      <c r="B26" s="338"/>
      <c r="C26" s="345"/>
      <c r="D26" s="340">
        <f>ROUND(D25*2,2)</f>
        <v>22568</v>
      </c>
      <c r="E26" s="345"/>
      <c r="F26" s="340">
        <f>ROUND(F25*2,2)</f>
        <v>23470</v>
      </c>
      <c r="G26" s="345"/>
      <c r="H26" s="340">
        <f>ROUND(H25*2,2)</f>
        <v>24406</v>
      </c>
      <c r="I26" s="221"/>
      <c r="J26" s="340">
        <f>ROUND(J25*2,2)</f>
        <v>25382</v>
      </c>
      <c r="K26" s="221"/>
      <c r="L26" s="340">
        <f>ROUND(L25*2,2)</f>
        <v>26398</v>
      </c>
      <c r="M26" s="221"/>
      <c r="N26" s="340">
        <f>ROUND(N25*2,2)</f>
        <v>27454</v>
      </c>
      <c r="P26" s="38"/>
      <c r="Q26" s="63"/>
      <c r="R26" s="62"/>
      <c r="S26" s="62"/>
    </row>
    <row r="27" spans="1:19" x14ac:dyDescent="0.2">
      <c r="A27" s="35"/>
      <c r="B27" s="35"/>
      <c r="C27" s="35"/>
      <c r="D27" s="35"/>
      <c r="E27" s="35"/>
      <c r="F27" s="35"/>
      <c r="G27" s="35"/>
      <c r="H27" s="35"/>
      <c r="P27" s="38"/>
    </row>
    <row r="28" spans="1:19" ht="15.75" x14ac:dyDescent="0.25">
      <c r="A28" s="39" t="s">
        <v>72</v>
      </c>
      <c r="B28" s="100"/>
      <c r="C28" s="579" t="s">
        <v>641</v>
      </c>
      <c r="D28" s="580"/>
      <c r="E28" s="579" t="s">
        <v>662</v>
      </c>
      <c r="F28" s="580"/>
      <c r="G28" s="579" t="s">
        <v>798</v>
      </c>
      <c r="H28" s="580"/>
      <c r="I28" s="579" t="s">
        <v>801</v>
      </c>
      <c r="J28" s="580"/>
      <c r="K28" s="579" t="s">
        <v>875</v>
      </c>
      <c r="L28" s="580"/>
      <c r="M28" s="579" t="s">
        <v>1128</v>
      </c>
      <c r="N28" s="580"/>
      <c r="P28" s="38"/>
    </row>
    <row r="29" spans="1:19" x14ac:dyDescent="0.2">
      <c r="A29" s="346"/>
      <c r="B29" s="347"/>
      <c r="C29" s="348" t="s">
        <v>66</v>
      </c>
      <c r="D29" s="349" t="s">
        <v>36</v>
      </c>
      <c r="E29" s="348" t="s">
        <v>66</v>
      </c>
      <c r="F29" s="349" t="s">
        <v>36</v>
      </c>
      <c r="G29" s="348" t="s">
        <v>66</v>
      </c>
      <c r="H29" s="349" t="s">
        <v>36</v>
      </c>
      <c r="I29" s="348" t="s">
        <v>66</v>
      </c>
      <c r="J29" s="349" t="s">
        <v>36</v>
      </c>
      <c r="K29" s="348" t="s">
        <v>66</v>
      </c>
      <c r="L29" s="349" t="s">
        <v>36</v>
      </c>
      <c r="M29" s="348" t="s">
        <v>66</v>
      </c>
      <c r="N29" s="349" t="s">
        <v>36</v>
      </c>
      <c r="P29" s="540"/>
    </row>
    <row r="30" spans="1:19" x14ac:dyDescent="0.2">
      <c r="A30" s="350" t="s">
        <v>483</v>
      </c>
      <c r="B30" s="351"/>
      <c r="C30" s="352"/>
      <c r="D30" s="353">
        <v>627</v>
      </c>
      <c r="E30" s="352">
        <v>0.04</v>
      </c>
      <c r="F30" s="353">
        <f>ROUND(D30*(1+E30),0)</f>
        <v>652</v>
      </c>
      <c r="G30" s="352">
        <v>0.04</v>
      </c>
      <c r="H30" s="353">
        <f>ROUND(F30*(1+G30),0)</f>
        <v>678</v>
      </c>
      <c r="I30" s="352">
        <v>0.04</v>
      </c>
      <c r="J30" s="353">
        <f>ROUND(H30*(1+I30),0)</f>
        <v>705</v>
      </c>
      <c r="K30" s="352">
        <v>0.04</v>
      </c>
      <c r="L30" s="353">
        <f>ROUND(J30*(1+K30),0)</f>
        <v>733</v>
      </c>
      <c r="M30" s="352">
        <v>0.04</v>
      </c>
      <c r="N30" s="353">
        <f>ROUND(L30*(1+M30),0)</f>
        <v>762</v>
      </c>
    </row>
    <row r="31" spans="1:19" x14ac:dyDescent="0.2">
      <c r="A31" s="350" t="s">
        <v>1259</v>
      </c>
      <c r="B31" s="351"/>
      <c r="C31" s="352"/>
      <c r="D31" s="353">
        <v>130</v>
      </c>
      <c r="E31" s="352">
        <v>0.04</v>
      </c>
      <c r="F31" s="353">
        <f t="shared" ref="F31:F36" si="8">ROUND(D31*(1+E31),0)</f>
        <v>135</v>
      </c>
      <c r="G31" s="352">
        <v>0.04</v>
      </c>
      <c r="H31" s="353">
        <f>ROUND(F31*(1+G31),0)</f>
        <v>140</v>
      </c>
      <c r="I31" s="352">
        <v>0.04</v>
      </c>
      <c r="J31" s="353">
        <f>ROUND(H31*(1+I31),0)</f>
        <v>146</v>
      </c>
      <c r="K31" s="352">
        <v>0.04</v>
      </c>
      <c r="L31" s="353">
        <f>ROUND(J31*(1+K31),0)</f>
        <v>152</v>
      </c>
      <c r="M31" s="352">
        <v>0.04</v>
      </c>
      <c r="N31" s="353">
        <f>ROUND(L31*(1+M31),0)</f>
        <v>158</v>
      </c>
    </row>
    <row r="32" spans="1:19" x14ac:dyDescent="0.2">
      <c r="A32" s="350" t="s">
        <v>484</v>
      </c>
      <c r="B32" s="351"/>
      <c r="C32" s="352"/>
      <c r="D32" s="353">
        <v>6381</v>
      </c>
      <c r="E32" s="352">
        <v>0.04</v>
      </c>
      <c r="F32" s="353">
        <f t="shared" si="8"/>
        <v>6636</v>
      </c>
      <c r="G32" s="352">
        <v>0.04</v>
      </c>
      <c r="H32" s="353">
        <f t="shared" ref="H32:H36" si="9">ROUND(F32*(1+G32),0)</f>
        <v>6901</v>
      </c>
      <c r="I32" s="352">
        <v>0.04</v>
      </c>
      <c r="J32" s="353">
        <f t="shared" ref="J32:J36" si="10">ROUND(H32*(1+I32),0)</f>
        <v>7177</v>
      </c>
      <c r="K32" s="352">
        <v>0.04</v>
      </c>
      <c r="L32" s="353">
        <f t="shared" ref="L32:L36" si="11">ROUND(J32*(1+K32),0)</f>
        <v>7464</v>
      </c>
      <c r="M32" s="352">
        <v>0.04</v>
      </c>
      <c r="N32" s="353">
        <f t="shared" ref="N32:N36" si="12">ROUND(L32*(1+M32),0)</f>
        <v>7763</v>
      </c>
      <c r="P32" s="540"/>
    </row>
    <row r="33" spans="1:14" x14ac:dyDescent="0.2">
      <c r="A33" s="350" t="s">
        <v>67</v>
      </c>
      <c r="B33" s="351"/>
      <c r="C33" s="352"/>
      <c r="D33" s="353">
        <v>820</v>
      </c>
      <c r="E33" s="352">
        <v>0.04</v>
      </c>
      <c r="F33" s="353">
        <f t="shared" si="8"/>
        <v>853</v>
      </c>
      <c r="G33" s="352">
        <v>0.04</v>
      </c>
      <c r="H33" s="353">
        <f t="shared" si="9"/>
        <v>887</v>
      </c>
      <c r="I33" s="352">
        <v>0.04</v>
      </c>
      <c r="J33" s="353">
        <f t="shared" si="10"/>
        <v>922</v>
      </c>
      <c r="K33" s="352">
        <v>0.04</v>
      </c>
      <c r="L33" s="353">
        <f t="shared" si="11"/>
        <v>959</v>
      </c>
      <c r="M33" s="352">
        <v>0.04</v>
      </c>
      <c r="N33" s="353">
        <f t="shared" si="12"/>
        <v>997</v>
      </c>
    </row>
    <row r="34" spans="1:14" x14ac:dyDescent="0.2">
      <c r="A34" s="350" t="s">
        <v>68</v>
      </c>
      <c r="B34" s="351"/>
      <c r="C34" s="352"/>
      <c r="D34" s="353">
        <v>105</v>
      </c>
      <c r="E34" s="352">
        <v>0.04</v>
      </c>
      <c r="F34" s="353">
        <f t="shared" si="8"/>
        <v>109</v>
      </c>
      <c r="G34" s="352">
        <v>0.04</v>
      </c>
      <c r="H34" s="353">
        <f t="shared" si="9"/>
        <v>113</v>
      </c>
      <c r="I34" s="352">
        <v>0.04</v>
      </c>
      <c r="J34" s="353">
        <f t="shared" si="10"/>
        <v>118</v>
      </c>
      <c r="K34" s="352">
        <v>0.04</v>
      </c>
      <c r="L34" s="353">
        <f t="shared" si="11"/>
        <v>123</v>
      </c>
      <c r="M34" s="352">
        <v>0.04</v>
      </c>
      <c r="N34" s="353">
        <f t="shared" si="12"/>
        <v>128</v>
      </c>
    </row>
    <row r="35" spans="1:14" x14ac:dyDescent="0.2">
      <c r="A35" s="350" t="s">
        <v>69</v>
      </c>
      <c r="B35" s="351"/>
      <c r="C35" s="352"/>
      <c r="D35" s="353">
        <v>3221</v>
      </c>
      <c r="E35" s="352">
        <v>0.04</v>
      </c>
      <c r="F35" s="353">
        <f t="shared" si="8"/>
        <v>3350</v>
      </c>
      <c r="G35" s="352">
        <v>0.04</v>
      </c>
      <c r="H35" s="353">
        <f t="shared" si="9"/>
        <v>3484</v>
      </c>
      <c r="I35" s="352">
        <v>0.04</v>
      </c>
      <c r="J35" s="353">
        <f t="shared" si="10"/>
        <v>3623</v>
      </c>
      <c r="K35" s="352">
        <v>0.04</v>
      </c>
      <c r="L35" s="353">
        <f t="shared" si="11"/>
        <v>3768</v>
      </c>
      <c r="M35" s="352">
        <v>0.04</v>
      </c>
      <c r="N35" s="353">
        <f t="shared" si="12"/>
        <v>3919</v>
      </c>
    </row>
    <row r="36" spans="1:14" x14ac:dyDescent="0.2">
      <c r="A36" s="350" t="s">
        <v>485</v>
      </c>
      <c r="B36" s="351"/>
      <c r="C36" s="352"/>
      <c r="D36" s="353">
        <v>7551</v>
      </c>
      <c r="E36" s="352">
        <v>0.04</v>
      </c>
      <c r="F36" s="353">
        <f t="shared" si="8"/>
        <v>7853</v>
      </c>
      <c r="G36" s="352">
        <v>0.04</v>
      </c>
      <c r="H36" s="353">
        <f t="shared" si="9"/>
        <v>8167</v>
      </c>
      <c r="I36" s="352">
        <v>0.04</v>
      </c>
      <c r="J36" s="353">
        <f t="shared" si="10"/>
        <v>8494</v>
      </c>
      <c r="K36" s="352">
        <v>0.04</v>
      </c>
      <c r="L36" s="353">
        <f t="shared" si="11"/>
        <v>8834</v>
      </c>
      <c r="M36" s="352">
        <v>0.04</v>
      </c>
      <c r="N36" s="353">
        <f t="shared" si="12"/>
        <v>9187</v>
      </c>
    </row>
    <row r="37" spans="1:14" x14ac:dyDescent="0.2">
      <c r="A37" s="350"/>
      <c r="B37" s="346"/>
      <c r="C37" s="354"/>
      <c r="D37" s="355"/>
      <c r="E37" s="354"/>
      <c r="F37" s="355"/>
      <c r="G37" s="354"/>
      <c r="H37" s="355"/>
      <c r="I37" s="225"/>
      <c r="J37" s="315"/>
      <c r="K37" s="225"/>
      <c r="L37" s="315"/>
      <c r="M37" s="225"/>
      <c r="N37" s="315"/>
    </row>
    <row r="38" spans="1:14" x14ac:dyDescent="0.2">
      <c r="A38" s="350" t="s">
        <v>70</v>
      </c>
      <c r="B38" s="351"/>
      <c r="C38" s="354"/>
      <c r="D38" s="353">
        <f>SUM(D30:D36)</f>
        <v>18835</v>
      </c>
      <c r="E38" s="354"/>
      <c r="F38" s="353">
        <f>SUM(F30:F36)</f>
        <v>19588</v>
      </c>
      <c r="G38" s="354"/>
      <c r="H38" s="353">
        <f>SUM(H30:H36)</f>
        <v>20370</v>
      </c>
      <c r="I38" s="225"/>
      <c r="J38" s="353">
        <f>SUM(J30:J36)</f>
        <v>21185</v>
      </c>
      <c r="K38" s="225"/>
      <c r="L38" s="353">
        <f>SUM(L30:L36)</f>
        <v>22033</v>
      </c>
      <c r="M38" s="225"/>
      <c r="N38" s="353">
        <f>SUM(N30:N36)</f>
        <v>22914</v>
      </c>
    </row>
    <row r="39" spans="1:14" x14ac:dyDescent="0.2">
      <c r="A39" s="350" t="s">
        <v>71</v>
      </c>
      <c r="B39" s="351"/>
      <c r="C39" s="354"/>
      <c r="D39" s="353">
        <f>ROUND(D38*2,2)</f>
        <v>37670</v>
      </c>
      <c r="E39" s="354"/>
      <c r="F39" s="353">
        <f>ROUND(F38*2,2)</f>
        <v>39176</v>
      </c>
      <c r="G39" s="354"/>
      <c r="H39" s="353">
        <f>ROUND(H38*2,2)</f>
        <v>40740</v>
      </c>
      <c r="I39" s="225"/>
      <c r="J39" s="353">
        <f>ROUND(J38*2,2)</f>
        <v>42370</v>
      </c>
      <c r="K39" s="225"/>
      <c r="L39" s="353">
        <f>ROUND(L38*2,2)</f>
        <v>44066</v>
      </c>
      <c r="M39" s="225"/>
      <c r="N39" s="353">
        <f>ROUND(N38*2,2)</f>
        <v>45828</v>
      </c>
    </row>
    <row r="40" spans="1:14" x14ac:dyDescent="0.2">
      <c r="A40" s="61"/>
      <c r="B40" s="62"/>
      <c r="C40" s="63"/>
      <c r="D40" s="62"/>
      <c r="E40" s="63"/>
      <c r="F40" s="62"/>
      <c r="G40" s="63"/>
      <c r="H40" s="62"/>
      <c r="J40" s="62"/>
      <c r="L40" s="62"/>
    </row>
    <row r="41" spans="1:14" ht="15.75" x14ac:dyDescent="0.25">
      <c r="A41" s="68" t="s">
        <v>1254</v>
      </c>
      <c r="B41" s="65"/>
      <c r="C41" s="64"/>
      <c r="D41" s="65"/>
      <c r="E41" s="64"/>
      <c r="F41" s="66" t="s">
        <v>1324</v>
      </c>
      <c r="G41" s="64"/>
      <c r="H41" s="65"/>
      <c r="I41" s="67"/>
      <c r="J41" s="65"/>
      <c r="K41" s="67"/>
      <c r="L41" s="65"/>
      <c r="M41" s="67"/>
    </row>
    <row r="42" spans="1:14" x14ac:dyDescent="0.2">
      <c r="A42" s="369" t="s">
        <v>610</v>
      </c>
      <c r="B42" s="369" t="s">
        <v>1323</v>
      </c>
      <c r="C42" s="368"/>
      <c r="D42" s="369"/>
      <c r="E42" s="365"/>
      <c r="F42" s="367" t="s">
        <v>119</v>
      </c>
      <c r="G42" s="367"/>
      <c r="H42" s="367" t="s">
        <v>55</v>
      </c>
      <c r="I42" s="373"/>
      <c r="J42" s="366" t="s">
        <v>127</v>
      </c>
      <c r="K42" s="356"/>
      <c r="L42" s="356"/>
      <c r="M42" s="356"/>
      <c r="N42" s="356"/>
    </row>
    <row r="43" spans="1:14" ht="38.25" x14ac:dyDescent="0.2">
      <c r="A43" s="370" t="s">
        <v>493</v>
      </c>
      <c r="B43" s="369">
        <v>5561.42</v>
      </c>
      <c r="C43" s="368"/>
      <c r="D43" s="369"/>
      <c r="E43" s="365"/>
      <c r="F43" s="374" t="s">
        <v>120</v>
      </c>
      <c r="G43" s="365"/>
      <c r="H43" s="367" t="s">
        <v>64</v>
      </c>
      <c r="I43" s="356"/>
      <c r="J43" s="366">
        <v>10000</v>
      </c>
      <c r="K43" s="356"/>
      <c r="L43" s="356"/>
      <c r="M43" s="356"/>
      <c r="N43" s="356"/>
    </row>
    <row r="44" spans="1:14" x14ac:dyDescent="0.2">
      <c r="A44" s="370" t="s">
        <v>494</v>
      </c>
      <c r="B44" s="369">
        <v>5767.42</v>
      </c>
      <c r="C44" s="368"/>
      <c r="D44" s="369"/>
      <c r="E44" s="365"/>
      <c r="F44" s="366"/>
      <c r="G44" s="365"/>
      <c r="H44" s="367" t="s">
        <v>113</v>
      </c>
      <c r="I44" s="356"/>
      <c r="J44" s="366">
        <v>10500</v>
      </c>
      <c r="K44" s="356"/>
      <c r="L44" s="356"/>
      <c r="M44" s="356"/>
      <c r="N44" s="356"/>
    </row>
    <row r="45" spans="1:14" x14ac:dyDescent="0.2">
      <c r="A45" s="370" t="s">
        <v>495</v>
      </c>
      <c r="B45" s="369">
        <v>5980.75</v>
      </c>
      <c r="C45" s="368"/>
      <c r="D45" s="369"/>
      <c r="E45" s="365"/>
      <c r="F45" s="366"/>
      <c r="G45" s="365"/>
      <c r="H45" s="367" t="s">
        <v>59</v>
      </c>
      <c r="I45" s="356"/>
      <c r="J45" s="366">
        <v>11033.33</v>
      </c>
      <c r="K45" s="356"/>
      <c r="L45" s="356"/>
      <c r="M45" s="356"/>
      <c r="N45" s="356"/>
    </row>
    <row r="46" spans="1:14" x14ac:dyDescent="0.2">
      <c r="A46" s="370" t="s">
        <v>496</v>
      </c>
      <c r="B46" s="369">
        <v>6202.08</v>
      </c>
      <c r="C46" s="368"/>
      <c r="D46" s="369"/>
      <c r="E46" s="365"/>
      <c r="F46" s="366"/>
      <c r="G46" s="365"/>
      <c r="H46" s="367" t="s">
        <v>114</v>
      </c>
      <c r="I46" s="356"/>
      <c r="J46" s="366">
        <v>11616.67</v>
      </c>
      <c r="K46" s="356"/>
      <c r="L46" s="356"/>
      <c r="M46" s="356"/>
      <c r="N46" s="356"/>
    </row>
    <row r="47" spans="1:14" x14ac:dyDescent="0.2">
      <c r="A47" s="370" t="s">
        <v>497</v>
      </c>
      <c r="B47" s="369">
        <v>6431.58</v>
      </c>
      <c r="C47" s="368"/>
      <c r="D47" s="369"/>
      <c r="E47" s="365"/>
      <c r="F47" s="366"/>
      <c r="G47" s="365"/>
      <c r="H47" s="367" t="s">
        <v>115</v>
      </c>
      <c r="I47" s="356"/>
      <c r="J47" s="366">
        <v>12116.67</v>
      </c>
      <c r="K47" s="356"/>
      <c r="L47" s="356"/>
      <c r="M47" s="356"/>
      <c r="N47" s="356"/>
    </row>
    <row r="48" spans="1:14" x14ac:dyDescent="0.2">
      <c r="A48" s="370" t="s">
        <v>498</v>
      </c>
      <c r="B48" s="369">
        <v>6669.5</v>
      </c>
      <c r="C48" s="368"/>
      <c r="D48" s="369"/>
      <c r="E48" s="365"/>
      <c r="F48" s="366"/>
      <c r="G48" s="365"/>
      <c r="H48" s="367" t="s">
        <v>116</v>
      </c>
      <c r="I48" s="356"/>
      <c r="J48" s="366">
        <v>12558.33</v>
      </c>
      <c r="K48" s="356"/>
      <c r="L48" s="356"/>
      <c r="M48" s="356"/>
      <c r="N48" s="356"/>
    </row>
    <row r="49" spans="1:14" ht="38.25" x14ac:dyDescent="0.2">
      <c r="A49" s="371"/>
      <c r="B49" s="369"/>
      <c r="C49" s="368"/>
      <c r="D49" s="369"/>
      <c r="E49" s="365"/>
      <c r="F49" s="374" t="s">
        <v>121</v>
      </c>
      <c r="G49" s="365"/>
      <c r="H49" s="367" t="s">
        <v>64</v>
      </c>
      <c r="I49" s="356"/>
      <c r="J49" s="366">
        <v>12125</v>
      </c>
      <c r="K49" s="356"/>
      <c r="L49" s="356"/>
      <c r="M49" s="356"/>
      <c r="N49" s="356"/>
    </row>
    <row r="50" spans="1:14" x14ac:dyDescent="0.2">
      <c r="A50" s="370" t="s">
        <v>491</v>
      </c>
      <c r="B50" s="372" t="s">
        <v>488</v>
      </c>
      <c r="C50" s="368"/>
      <c r="D50" s="369"/>
      <c r="E50" s="365"/>
      <c r="F50" s="366"/>
      <c r="G50" s="365"/>
      <c r="H50" s="367" t="s">
        <v>113</v>
      </c>
      <c r="I50" s="356"/>
      <c r="J50" s="366">
        <v>12566.67</v>
      </c>
      <c r="K50" s="356"/>
      <c r="L50" s="356"/>
      <c r="M50" s="356"/>
      <c r="N50" s="356"/>
    </row>
    <row r="51" spans="1:14" x14ac:dyDescent="0.2">
      <c r="A51" s="370" t="s">
        <v>489</v>
      </c>
      <c r="B51" s="372" t="s">
        <v>490</v>
      </c>
      <c r="C51" s="368"/>
      <c r="D51" s="369"/>
      <c r="E51" s="365"/>
      <c r="F51" s="366"/>
      <c r="G51" s="365"/>
      <c r="H51" s="367" t="s">
        <v>59</v>
      </c>
      <c r="I51" s="356"/>
      <c r="J51" s="366">
        <v>13075</v>
      </c>
      <c r="K51" s="356"/>
      <c r="L51" s="356"/>
      <c r="M51" s="356"/>
      <c r="N51" s="356"/>
    </row>
    <row r="52" spans="1:14" x14ac:dyDescent="0.2">
      <c r="A52" s="370" t="s">
        <v>492</v>
      </c>
      <c r="B52" s="372" t="s">
        <v>499</v>
      </c>
      <c r="C52" s="368"/>
      <c r="D52" s="369"/>
      <c r="E52" s="365"/>
      <c r="F52" s="366"/>
      <c r="G52" s="365"/>
      <c r="H52" s="367" t="s">
        <v>114</v>
      </c>
      <c r="I52" s="356"/>
      <c r="J52" s="366">
        <v>13533.33</v>
      </c>
      <c r="K52" s="356"/>
      <c r="L52" s="356"/>
      <c r="M52" s="356"/>
      <c r="N52" s="356"/>
    </row>
    <row r="53" spans="1:14" x14ac:dyDescent="0.2">
      <c r="A53" s="370" t="s">
        <v>500</v>
      </c>
      <c r="B53" s="372"/>
      <c r="C53" s="368"/>
      <c r="D53" s="369"/>
      <c r="E53" s="365"/>
      <c r="F53" s="366"/>
      <c r="G53" s="365"/>
      <c r="H53" s="367" t="s">
        <v>115</v>
      </c>
      <c r="I53" s="356"/>
      <c r="J53" s="366">
        <v>14025</v>
      </c>
      <c r="K53" s="356"/>
      <c r="L53" s="356"/>
      <c r="M53" s="356"/>
      <c r="N53" s="356"/>
    </row>
    <row r="54" spans="1:14" ht="28.5" customHeight="1" x14ac:dyDescent="0.25">
      <c r="A54" s="581"/>
      <c r="B54" s="581"/>
      <c r="C54" s="581"/>
      <c r="D54" s="581"/>
      <c r="E54" s="365"/>
      <c r="F54" s="374" t="s">
        <v>122</v>
      </c>
      <c r="G54" s="365"/>
      <c r="H54" s="367" t="s">
        <v>64</v>
      </c>
      <c r="I54" s="356"/>
      <c r="J54" s="366">
        <v>13541.67</v>
      </c>
      <c r="K54" s="356"/>
      <c r="L54" s="356"/>
      <c r="M54" s="356"/>
      <c r="N54" s="356"/>
    </row>
    <row r="55" spans="1:14" ht="44.25" customHeight="1" x14ac:dyDescent="0.25">
      <c r="A55" s="582" t="s">
        <v>1326</v>
      </c>
      <c r="B55" s="582"/>
      <c r="C55" s="582"/>
      <c r="D55" s="582"/>
      <c r="E55" s="365"/>
      <c r="F55" s="366"/>
      <c r="G55" s="365"/>
      <c r="H55" s="367" t="s">
        <v>113</v>
      </c>
      <c r="I55" s="356"/>
      <c r="J55" s="366">
        <v>14033.33</v>
      </c>
      <c r="K55" s="356"/>
      <c r="L55" s="356"/>
      <c r="M55" s="356"/>
      <c r="N55" s="356"/>
    </row>
    <row r="56" spans="1:14" ht="25.5" x14ac:dyDescent="0.2">
      <c r="A56" s="483" t="s">
        <v>119</v>
      </c>
      <c r="B56" s="483" t="s">
        <v>55</v>
      </c>
      <c r="C56" s="483" t="s">
        <v>199</v>
      </c>
      <c r="D56" s="483"/>
      <c r="E56" s="365"/>
      <c r="F56" s="366"/>
      <c r="G56" s="365"/>
      <c r="H56" s="367" t="s">
        <v>59</v>
      </c>
      <c r="I56" s="356"/>
      <c r="J56" s="366">
        <v>14750</v>
      </c>
      <c r="K56" s="356"/>
      <c r="L56" s="356"/>
      <c r="M56" s="356"/>
      <c r="N56" s="356"/>
    </row>
    <row r="57" spans="1:14" x14ac:dyDescent="0.2">
      <c r="A57" s="483"/>
      <c r="B57" s="483"/>
      <c r="C57" s="483"/>
      <c r="D57" s="483"/>
      <c r="E57" s="356"/>
      <c r="F57" s="356"/>
      <c r="G57" s="356"/>
      <c r="H57" s="367" t="s">
        <v>114</v>
      </c>
      <c r="I57" s="356"/>
      <c r="J57" s="366">
        <v>15591.67</v>
      </c>
      <c r="K57" s="356"/>
      <c r="L57" s="356"/>
      <c r="M57" s="356"/>
      <c r="N57" s="356"/>
    </row>
    <row r="58" spans="1:14" x14ac:dyDescent="0.2">
      <c r="A58" s="484" t="s">
        <v>1226</v>
      </c>
      <c r="B58" s="484" t="s">
        <v>64</v>
      </c>
      <c r="C58" s="483">
        <v>7516.67</v>
      </c>
      <c r="D58" s="483"/>
      <c r="E58" s="356"/>
      <c r="F58" s="356"/>
      <c r="G58" s="356"/>
      <c r="H58" s="367" t="s">
        <v>115</v>
      </c>
      <c r="I58" s="356"/>
      <c r="J58" s="366">
        <v>16475</v>
      </c>
      <c r="K58" s="356"/>
      <c r="L58" s="356"/>
      <c r="M58" s="356"/>
      <c r="N58" s="356"/>
    </row>
    <row r="59" spans="1:14" x14ac:dyDescent="0.2">
      <c r="A59" s="484"/>
      <c r="B59" s="484" t="s">
        <v>113</v>
      </c>
      <c r="C59" s="483">
        <v>7975</v>
      </c>
      <c r="D59" s="483"/>
      <c r="E59" s="356"/>
      <c r="F59" s="356"/>
      <c r="G59" s="356"/>
      <c r="H59" s="367" t="s">
        <v>116</v>
      </c>
      <c r="I59" s="356"/>
      <c r="J59" s="366">
        <v>17675</v>
      </c>
      <c r="K59" s="356"/>
      <c r="L59" s="356"/>
      <c r="M59" s="356"/>
      <c r="N59" s="356"/>
    </row>
    <row r="60" spans="1:14" x14ac:dyDescent="0.2">
      <c r="A60" s="484"/>
      <c r="B60" s="484" t="s">
        <v>59</v>
      </c>
      <c r="C60" s="483">
        <v>8408.33</v>
      </c>
      <c r="D60" s="483"/>
      <c r="E60" s="356"/>
      <c r="F60" s="356"/>
      <c r="G60" s="356"/>
      <c r="H60" s="367" t="s">
        <v>57</v>
      </c>
      <c r="I60" s="356"/>
      <c r="J60" s="366">
        <v>18641.669999999998</v>
      </c>
      <c r="K60" s="356"/>
      <c r="L60" s="356"/>
      <c r="M60" s="356"/>
      <c r="N60" s="356"/>
    </row>
    <row r="61" spans="1:14" x14ac:dyDescent="0.2">
      <c r="A61" s="484"/>
      <c r="B61" s="484" t="s">
        <v>114</v>
      </c>
      <c r="C61" s="483">
        <v>8883.33</v>
      </c>
      <c r="D61" s="483"/>
      <c r="E61" s="356"/>
      <c r="F61" s="356"/>
      <c r="G61" s="356"/>
      <c r="H61" s="367" t="s">
        <v>117</v>
      </c>
      <c r="I61" s="356"/>
      <c r="J61" s="366">
        <v>20275</v>
      </c>
      <c r="K61" s="356"/>
      <c r="L61" s="356"/>
      <c r="M61" s="356"/>
      <c r="N61" s="356"/>
    </row>
    <row r="62" spans="1:14" x14ac:dyDescent="0.2">
      <c r="A62" s="484"/>
      <c r="B62" s="484" t="s">
        <v>115</v>
      </c>
      <c r="C62" s="483">
        <v>9341.67</v>
      </c>
      <c r="D62" s="483"/>
      <c r="E62" s="356"/>
      <c r="F62" s="356"/>
      <c r="G62" s="356"/>
      <c r="H62" s="367" t="s">
        <v>118</v>
      </c>
      <c r="I62" s="356"/>
      <c r="J62" s="366">
        <v>21900</v>
      </c>
      <c r="K62" s="356"/>
      <c r="L62" s="356"/>
      <c r="M62" s="356"/>
      <c r="N62" s="356"/>
    </row>
    <row r="63" spans="1:14" ht="15.75" x14ac:dyDescent="0.25">
      <c r="A63" s="370"/>
      <c r="B63" s="368" t="s">
        <v>116</v>
      </c>
      <c r="C63" s="483">
        <v>9825</v>
      </c>
      <c r="D63" s="441"/>
      <c r="E63" s="356"/>
      <c r="F63" s="486" t="s">
        <v>1325</v>
      </c>
      <c r="G63" s="356"/>
      <c r="H63" s="356"/>
      <c r="I63" s="356"/>
      <c r="J63" s="356"/>
      <c r="K63" s="356"/>
      <c r="L63" s="356"/>
      <c r="M63" s="356"/>
      <c r="N63" s="356"/>
    </row>
    <row r="64" spans="1:14" ht="15.75" x14ac:dyDescent="0.25">
      <c r="A64" s="370"/>
      <c r="B64" s="370"/>
      <c r="C64" s="370"/>
      <c r="D64" s="441"/>
      <c r="E64" s="356"/>
      <c r="F64" s="375"/>
      <c r="G64" s="356"/>
      <c r="H64" s="356"/>
      <c r="I64" s="356"/>
      <c r="J64" s="356" t="s">
        <v>128</v>
      </c>
      <c r="K64" s="356"/>
      <c r="L64" s="356"/>
      <c r="M64" s="356"/>
      <c r="N64" s="356"/>
    </row>
    <row r="65" spans="1:14" x14ac:dyDescent="0.2">
      <c r="A65" s="484" t="s">
        <v>1227</v>
      </c>
      <c r="B65" s="484" t="s">
        <v>64</v>
      </c>
      <c r="C65" s="483">
        <v>9350</v>
      </c>
      <c r="D65" s="441"/>
      <c r="E65" s="356"/>
      <c r="F65" s="367" t="s">
        <v>125</v>
      </c>
      <c r="G65" s="356"/>
      <c r="H65" s="356" t="s">
        <v>64</v>
      </c>
      <c r="I65" s="356"/>
      <c r="J65" s="376">
        <v>4425</v>
      </c>
      <c r="K65" s="356"/>
      <c r="L65" s="356"/>
      <c r="M65" s="356"/>
      <c r="N65" s="356"/>
    </row>
    <row r="66" spans="1:14" x14ac:dyDescent="0.2">
      <c r="A66" s="483"/>
      <c r="B66" s="484" t="s">
        <v>113</v>
      </c>
      <c r="C66" s="483">
        <v>9833.33</v>
      </c>
      <c r="D66" s="441"/>
      <c r="E66" s="356"/>
      <c r="F66" s="367"/>
      <c r="G66" s="356"/>
      <c r="H66" s="356" t="s">
        <v>113</v>
      </c>
      <c r="I66" s="356"/>
      <c r="J66" s="376">
        <v>4716.67</v>
      </c>
      <c r="K66" s="356"/>
      <c r="L66" s="356"/>
      <c r="M66" s="356"/>
      <c r="N66" s="356"/>
    </row>
    <row r="67" spans="1:14" x14ac:dyDescent="0.2">
      <c r="A67" s="483"/>
      <c r="B67" s="484" t="s">
        <v>59</v>
      </c>
      <c r="C67" s="483">
        <v>10350</v>
      </c>
      <c r="D67" s="441"/>
      <c r="E67" s="356"/>
      <c r="F67" s="367" t="s">
        <v>123</v>
      </c>
      <c r="G67" s="356"/>
      <c r="H67" s="356" t="s">
        <v>64</v>
      </c>
      <c r="I67" s="356"/>
      <c r="J67" s="376">
        <v>5108.33</v>
      </c>
      <c r="K67" s="356"/>
      <c r="L67" s="356"/>
      <c r="M67" s="356"/>
      <c r="N67" s="356"/>
    </row>
    <row r="68" spans="1:14" x14ac:dyDescent="0.2">
      <c r="A68" s="483"/>
      <c r="B68" s="484" t="s">
        <v>114</v>
      </c>
      <c r="C68" s="483">
        <v>10966.67</v>
      </c>
      <c r="D68" s="441"/>
      <c r="E68" s="356"/>
      <c r="F68" s="367" t="s">
        <v>124</v>
      </c>
      <c r="G68" s="356"/>
      <c r="H68" s="356" t="s">
        <v>113</v>
      </c>
      <c r="I68" s="356"/>
      <c r="J68" s="376">
        <v>5391.67</v>
      </c>
      <c r="K68" s="356"/>
      <c r="L68" s="356"/>
      <c r="M68" s="356"/>
      <c r="N68" s="356"/>
    </row>
    <row r="69" spans="1:14" x14ac:dyDescent="0.2">
      <c r="A69" s="483"/>
      <c r="B69" s="484" t="s">
        <v>115</v>
      </c>
      <c r="C69" s="483">
        <v>11808.33</v>
      </c>
      <c r="D69" s="441"/>
      <c r="E69" s="356"/>
      <c r="F69" s="367"/>
      <c r="G69" s="356"/>
      <c r="H69" s="356" t="s">
        <v>59</v>
      </c>
      <c r="I69" s="356"/>
      <c r="J69" s="376">
        <v>5691.67</v>
      </c>
      <c r="K69" s="356"/>
      <c r="L69" s="356"/>
      <c r="M69" s="356"/>
      <c r="N69" s="356"/>
    </row>
    <row r="70" spans="1:14" x14ac:dyDescent="0.2">
      <c r="A70" s="370"/>
      <c r="B70" s="370"/>
      <c r="C70" s="370"/>
      <c r="D70" s="441"/>
      <c r="E70" s="356"/>
      <c r="F70" s="367" t="s">
        <v>126</v>
      </c>
      <c r="G70" s="356"/>
      <c r="H70" s="356" t="s">
        <v>64</v>
      </c>
      <c r="I70" s="356"/>
      <c r="J70" s="376">
        <v>6083.33</v>
      </c>
      <c r="K70" s="356"/>
      <c r="L70" s="356"/>
      <c r="M70" s="356"/>
      <c r="N70" s="356"/>
    </row>
    <row r="71" spans="1:14" x14ac:dyDescent="0.2">
      <c r="A71" s="484" t="s">
        <v>1228</v>
      </c>
      <c r="B71" s="484" t="s">
        <v>64</v>
      </c>
      <c r="C71" s="483">
        <v>10975</v>
      </c>
      <c r="D71" s="441"/>
      <c r="E71" s="356"/>
      <c r="F71" s="367"/>
      <c r="G71" s="356"/>
      <c r="H71" s="356" t="s">
        <v>113</v>
      </c>
      <c r="I71" s="356"/>
      <c r="J71" s="376">
        <v>6375</v>
      </c>
      <c r="K71" s="356"/>
      <c r="L71" s="356"/>
      <c r="M71" s="356"/>
      <c r="N71" s="356"/>
    </row>
    <row r="72" spans="1:14" x14ac:dyDescent="0.2">
      <c r="A72" s="483"/>
      <c r="B72" s="484" t="s">
        <v>113</v>
      </c>
      <c r="C72" s="483">
        <v>11816.67</v>
      </c>
      <c r="D72" s="441"/>
      <c r="E72" s="356"/>
      <c r="F72" s="367"/>
      <c r="G72" s="356"/>
      <c r="H72" s="356" t="s">
        <v>59</v>
      </c>
      <c r="I72" s="356"/>
      <c r="J72" s="376">
        <v>6725</v>
      </c>
      <c r="K72" s="356"/>
      <c r="L72" s="356"/>
      <c r="M72" s="356"/>
      <c r="N72" s="356"/>
    </row>
    <row r="73" spans="1:14" x14ac:dyDescent="0.2">
      <c r="A73" s="483"/>
      <c r="B73" s="484" t="s">
        <v>59</v>
      </c>
      <c r="C73" s="483">
        <v>12716.67</v>
      </c>
      <c r="D73" s="441"/>
      <c r="E73" s="356"/>
      <c r="F73" s="367"/>
      <c r="G73" s="356"/>
      <c r="H73" s="356" t="s">
        <v>114</v>
      </c>
      <c r="I73" s="356"/>
      <c r="J73" s="376">
        <v>7083.33</v>
      </c>
      <c r="K73" s="356"/>
      <c r="L73" s="356"/>
      <c r="M73" s="356"/>
      <c r="N73" s="356"/>
    </row>
    <row r="74" spans="1:14" x14ac:dyDescent="0.2">
      <c r="A74" s="483"/>
      <c r="B74" s="484" t="s">
        <v>114</v>
      </c>
      <c r="C74" s="483">
        <v>13658.33</v>
      </c>
      <c r="D74" s="441"/>
      <c r="E74" s="356"/>
      <c r="F74" s="367" t="s">
        <v>124</v>
      </c>
      <c r="G74" s="356"/>
      <c r="H74" s="356" t="s">
        <v>64</v>
      </c>
      <c r="I74" s="356"/>
      <c r="J74" s="376">
        <v>7500</v>
      </c>
      <c r="K74" s="356"/>
      <c r="L74" s="356"/>
      <c r="M74" s="356"/>
      <c r="N74" s="356"/>
    </row>
    <row r="75" spans="1:14" x14ac:dyDescent="0.2">
      <c r="A75" s="483"/>
      <c r="B75" s="484" t="s">
        <v>115</v>
      </c>
      <c r="C75" s="483">
        <v>14658.33</v>
      </c>
      <c r="D75" s="441"/>
      <c r="E75" s="356"/>
      <c r="F75" s="366"/>
      <c r="G75" s="356"/>
      <c r="H75" s="356" t="s">
        <v>113</v>
      </c>
      <c r="I75" s="356"/>
      <c r="J75" s="376">
        <v>8241.67</v>
      </c>
      <c r="K75" s="356"/>
      <c r="L75" s="356"/>
      <c r="M75" s="356"/>
      <c r="N75" s="356"/>
    </row>
    <row r="76" spans="1:14" x14ac:dyDescent="0.2">
      <c r="A76" s="370"/>
      <c r="B76" s="368" t="s">
        <v>116</v>
      </c>
      <c r="C76" s="485">
        <v>15808.33</v>
      </c>
      <c r="D76" s="441"/>
      <c r="E76" s="356"/>
      <c r="F76" s="366"/>
      <c r="G76" s="356"/>
      <c r="H76" s="356" t="s">
        <v>59</v>
      </c>
      <c r="I76" s="356"/>
      <c r="J76" s="376">
        <v>9191.67</v>
      </c>
      <c r="K76" s="356"/>
      <c r="L76" s="356"/>
      <c r="M76" s="356"/>
      <c r="N76" s="356"/>
    </row>
    <row r="77" spans="1:14" x14ac:dyDescent="0.2">
      <c r="A77" s="370"/>
      <c r="B77" s="368" t="s">
        <v>57</v>
      </c>
      <c r="C77" s="485">
        <v>17058.330000000002</v>
      </c>
      <c r="D77" s="441"/>
      <c r="E77" s="356"/>
      <c r="F77" s="366"/>
      <c r="G77" s="356"/>
      <c r="H77" s="356" t="s">
        <v>114</v>
      </c>
      <c r="I77" s="356"/>
      <c r="J77" s="376">
        <v>10333.33</v>
      </c>
      <c r="K77" s="356"/>
      <c r="L77" s="356"/>
      <c r="M77" s="356"/>
      <c r="N77" s="356"/>
    </row>
    <row r="78" spans="1:14" x14ac:dyDescent="0.2">
      <c r="A78" s="370"/>
      <c r="B78" s="368" t="s">
        <v>117</v>
      </c>
      <c r="C78" s="485">
        <v>18450</v>
      </c>
      <c r="D78" s="441"/>
      <c r="E78" s="356"/>
      <c r="F78" s="366"/>
      <c r="G78" s="356"/>
      <c r="H78" s="356" t="s">
        <v>115</v>
      </c>
      <c r="I78" s="356"/>
      <c r="J78" s="376">
        <v>11450</v>
      </c>
      <c r="K78" s="356"/>
      <c r="L78" s="356"/>
      <c r="M78" s="356"/>
      <c r="N78" s="356"/>
    </row>
    <row r="79" spans="1:14" x14ac:dyDescent="0.2">
      <c r="A79" s="370"/>
      <c r="B79" s="368" t="s">
        <v>118</v>
      </c>
      <c r="C79" s="485">
        <v>20000</v>
      </c>
      <c r="D79" s="441"/>
      <c r="E79" s="356"/>
      <c r="F79" s="356"/>
      <c r="G79" s="356"/>
      <c r="H79" s="356" t="s">
        <v>116</v>
      </c>
      <c r="I79" s="356"/>
      <c r="J79" s="376">
        <v>12408.33</v>
      </c>
      <c r="K79" s="356"/>
      <c r="L79" s="356"/>
      <c r="M79" s="356"/>
      <c r="N79" s="356"/>
    </row>
    <row r="80" spans="1:14" x14ac:dyDescent="0.2">
      <c r="A80" s="370"/>
      <c r="B80" s="369"/>
      <c r="C80" s="441"/>
      <c r="D80" s="441"/>
      <c r="E80" s="356"/>
      <c r="F80" s="356"/>
      <c r="G80" s="356"/>
      <c r="H80" s="356" t="s">
        <v>57</v>
      </c>
      <c r="I80" s="356"/>
      <c r="J80" s="376">
        <v>13300</v>
      </c>
      <c r="K80" s="356"/>
      <c r="L80" s="356"/>
      <c r="M80" s="356"/>
      <c r="N80" s="356"/>
    </row>
    <row r="81" spans="1:14" x14ac:dyDescent="0.2">
      <c r="A81" s="370"/>
      <c r="B81" s="369"/>
      <c r="C81" s="441"/>
      <c r="D81" s="441"/>
      <c r="E81" s="356"/>
      <c r="F81" s="356"/>
      <c r="G81" s="356"/>
      <c r="H81" s="356" t="s">
        <v>117</v>
      </c>
      <c r="I81" s="356"/>
      <c r="J81" s="376">
        <v>14241.67</v>
      </c>
      <c r="K81" s="356"/>
      <c r="L81" s="356"/>
      <c r="M81" s="356"/>
      <c r="N81" s="356"/>
    </row>
    <row r="82" spans="1:14" x14ac:dyDescent="0.2">
      <c r="A82" s="370"/>
      <c r="B82" s="369"/>
      <c r="C82" s="441"/>
      <c r="D82" s="441"/>
      <c r="E82" s="356"/>
      <c r="F82" s="356"/>
      <c r="G82" s="356"/>
      <c r="H82" s="356" t="s">
        <v>118</v>
      </c>
      <c r="I82" s="356"/>
      <c r="J82" s="376">
        <v>15683.33</v>
      </c>
      <c r="K82" s="356"/>
      <c r="L82" s="356"/>
      <c r="M82" s="356"/>
      <c r="N82" s="356"/>
    </row>
    <row r="83" spans="1:14" ht="15.75" x14ac:dyDescent="0.25">
      <c r="A83" s="377" t="s">
        <v>1322</v>
      </c>
      <c r="B83" s="327"/>
      <c r="C83" s="327"/>
      <c r="D83" s="377"/>
      <c r="E83" s="377"/>
      <c r="F83" s="327"/>
      <c r="G83" s="327"/>
      <c r="H83" s="327"/>
      <c r="I83" s="327"/>
      <c r="J83" s="327"/>
      <c r="K83" s="327"/>
      <c r="L83" s="327"/>
      <c r="M83" s="327"/>
      <c r="N83" s="327"/>
    </row>
    <row r="84" spans="1:14" x14ac:dyDescent="0.2">
      <c r="A84" s="327" t="s">
        <v>258</v>
      </c>
      <c r="B84" s="378">
        <v>5760.75</v>
      </c>
      <c r="C84" s="327"/>
      <c r="D84" s="378"/>
      <c r="E84" s="327"/>
      <c r="F84" s="327"/>
      <c r="G84" s="327"/>
      <c r="H84" s="327"/>
      <c r="I84" s="327"/>
      <c r="J84" s="327"/>
      <c r="K84" s="327"/>
      <c r="L84" s="327"/>
      <c r="M84" s="327"/>
      <c r="N84" s="327"/>
    </row>
    <row r="85" spans="1:14" x14ac:dyDescent="0.2">
      <c r="A85" s="327" t="s">
        <v>192</v>
      </c>
      <c r="B85" s="378">
        <v>6207.25</v>
      </c>
      <c r="C85" s="327"/>
      <c r="D85" s="378"/>
      <c r="E85" s="327"/>
      <c r="F85" s="327"/>
      <c r="G85" s="327"/>
      <c r="H85" s="327"/>
      <c r="I85" s="327"/>
      <c r="J85" s="327"/>
      <c r="K85" s="327"/>
      <c r="L85" s="327"/>
      <c r="M85" s="327"/>
      <c r="N85" s="327"/>
    </row>
    <row r="86" spans="1:14" x14ac:dyDescent="0.2">
      <c r="A86" s="327" t="s">
        <v>193</v>
      </c>
      <c r="B86" s="378">
        <v>6688.33</v>
      </c>
      <c r="C86" s="327"/>
      <c r="D86" s="378"/>
      <c r="E86" s="327"/>
      <c r="F86" s="327"/>
      <c r="G86" s="327"/>
      <c r="H86" s="327"/>
      <c r="I86" s="327"/>
      <c r="J86" s="327"/>
      <c r="K86" s="327"/>
      <c r="L86" s="327"/>
      <c r="M86" s="327"/>
      <c r="N86" s="327"/>
    </row>
    <row r="87" spans="1:14" x14ac:dyDescent="0.2">
      <c r="A87" s="327" t="s">
        <v>194</v>
      </c>
      <c r="B87" s="378">
        <v>7206.75</v>
      </c>
      <c r="C87" s="327"/>
      <c r="D87" s="378"/>
      <c r="E87" s="327"/>
      <c r="F87" s="327"/>
      <c r="G87" s="327"/>
      <c r="H87" s="327"/>
      <c r="I87" s="327"/>
      <c r="J87" s="327"/>
      <c r="K87" s="327"/>
      <c r="L87" s="327"/>
      <c r="M87" s="327"/>
      <c r="N87" s="327"/>
    </row>
    <row r="88" spans="1:14" x14ac:dyDescent="0.2">
      <c r="A88" s="327" t="s">
        <v>195</v>
      </c>
      <c r="B88" s="378">
        <v>7765.33</v>
      </c>
      <c r="C88" s="327"/>
      <c r="D88" s="378"/>
      <c r="E88" s="327"/>
      <c r="F88" s="327"/>
      <c r="G88" s="327"/>
      <c r="H88" s="327"/>
      <c r="I88" s="327"/>
      <c r="J88" s="327"/>
      <c r="K88" s="327"/>
      <c r="L88" s="327"/>
      <c r="M88" s="327"/>
      <c r="N88" s="327"/>
    </row>
    <row r="89" spans="1:14" x14ac:dyDescent="0.2">
      <c r="A89" s="327" t="s">
        <v>196</v>
      </c>
      <c r="B89" s="378">
        <v>8367.17</v>
      </c>
      <c r="C89" s="327"/>
      <c r="D89" s="378"/>
      <c r="E89" s="327"/>
      <c r="F89" s="327"/>
      <c r="G89" s="327"/>
      <c r="H89" s="327"/>
      <c r="I89" s="327"/>
      <c r="J89" s="327"/>
      <c r="K89" s="327"/>
      <c r="L89" s="327"/>
      <c r="M89" s="327"/>
      <c r="N89" s="327"/>
    </row>
    <row r="90" spans="1:14" ht="15" x14ac:dyDescent="0.2">
      <c r="A90" s="1" t="s">
        <v>1130</v>
      </c>
    </row>
    <row r="91" spans="1:14" ht="15" x14ac:dyDescent="0.2">
      <c r="A91" s="1" t="s">
        <v>1129</v>
      </c>
    </row>
    <row r="92" spans="1:14" ht="15" x14ac:dyDescent="0.2">
      <c r="A92" s="1" t="s">
        <v>799</v>
      </c>
    </row>
    <row r="93" spans="1:14" ht="15" x14ac:dyDescent="0.2">
      <c r="A93" s="1" t="s">
        <v>486</v>
      </c>
    </row>
    <row r="94" spans="1:14" ht="15" x14ac:dyDescent="0.2">
      <c r="A94" s="1" t="s">
        <v>487</v>
      </c>
    </row>
    <row r="95" spans="1:14" ht="15" x14ac:dyDescent="0.2">
      <c r="A95" s="1" t="s">
        <v>586</v>
      </c>
    </row>
    <row r="96" spans="1:14" ht="15" x14ac:dyDescent="0.2">
      <c r="A96" s="1" t="s">
        <v>538</v>
      </c>
    </row>
    <row r="97" spans="1:11" ht="15" x14ac:dyDescent="0.2">
      <c r="A97" s="1" t="s">
        <v>800</v>
      </c>
    </row>
    <row r="98" spans="1:11" ht="15" x14ac:dyDescent="0.2">
      <c r="A98" s="1" t="s">
        <v>1260</v>
      </c>
    </row>
    <row r="99" spans="1:11" x14ac:dyDescent="0.2">
      <c r="A99" s="428" t="s">
        <v>1028</v>
      </c>
      <c r="B99" s="429"/>
      <c r="C99" s="429"/>
      <c r="D99" s="429"/>
      <c r="E99" s="429"/>
      <c r="F99" s="429"/>
      <c r="G99" s="429"/>
      <c r="H99" s="429"/>
      <c r="I99" s="429"/>
      <c r="J99" s="429"/>
      <c r="K99" s="429"/>
    </row>
    <row r="100" spans="1:11" ht="16.5" thickBot="1" x14ac:dyDescent="0.3">
      <c r="A100" s="96" t="s">
        <v>1125</v>
      </c>
      <c r="H100" s="6"/>
    </row>
    <row r="101" spans="1:11" ht="15.75" thickBot="1" x14ac:dyDescent="0.25">
      <c r="A101" s="546" t="s">
        <v>1121</v>
      </c>
      <c r="B101" s="547" t="s">
        <v>1058</v>
      </c>
      <c r="C101" s="548" t="s">
        <v>1059</v>
      </c>
      <c r="D101" s="548" t="s">
        <v>1060</v>
      </c>
      <c r="E101" s="548" t="s">
        <v>1061</v>
      </c>
      <c r="F101" s="548" t="s">
        <v>1062</v>
      </c>
      <c r="G101" s="548" t="s">
        <v>1115</v>
      </c>
      <c r="H101" s="548" t="s">
        <v>1132</v>
      </c>
      <c r="J101" s="489" t="s">
        <v>1143</v>
      </c>
    </row>
    <row r="102" spans="1:11" ht="15" thickBot="1" x14ac:dyDescent="0.25">
      <c r="A102" s="549" t="s">
        <v>1122</v>
      </c>
      <c r="B102" s="550">
        <v>0.04</v>
      </c>
      <c r="C102" s="551">
        <v>0.04</v>
      </c>
      <c r="D102" s="551">
        <v>0.04</v>
      </c>
      <c r="E102" s="551">
        <v>0.04</v>
      </c>
      <c r="F102" s="551">
        <v>0.04</v>
      </c>
      <c r="G102" s="551">
        <v>0.04</v>
      </c>
      <c r="H102" s="551">
        <v>0.04</v>
      </c>
      <c r="J102" s="19" t="s">
        <v>1058</v>
      </c>
      <c r="K102" s="8">
        <v>6.7999999999999996E-3</v>
      </c>
    </row>
    <row r="103" spans="1:11" ht="43.5" thickBot="1" x14ac:dyDescent="0.25">
      <c r="A103" s="549" t="s">
        <v>1126</v>
      </c>
      <c r="B103" s="550">
        <v>4.4999999999999998E-2</v>
      </c>
      <c r="C103" s="551">
        <v>3.5000000000000003E-2</v>
      </c>
      <c r="D103" s="551">
        <v>3.5000000000000003E-2</v>
      </c>
      <c r="E103" s="551">
        <v>3.5000000000000003E-2</v>
      </c>
      <c r="F103" s="551">
        <v>0.04</v>
      </c>
      <c r="G103" s="551">
        <v>0.04</v>
      </c>
      <c r="H103" s="551">
        <v>0.04</v>
      </c>
      <c r="J103" s="19" t="s">
        <v>1059</v>
      </c>
      <c r="K103" s="8">
        <v>6.6E-3</v>
      </c>
    </row>
    <row r="104" spans="1:11" ht="15" thickBot="1" x14ac:dyDescent="0.25">
      <c r="A104" s="549" t="s">
        <v>1123</v>
      </c>
      <c r="B104" s="550">
        <v>0.04</v>
      </c>
      <c r="C104" s="551">
        <v>0.04</v>
      </c>
      <c r="D104" s="551">
        <v>0.04</v>
      </c>
      <c r="E104" s="551">
        <v>0.04</v>
      </c>
      <c r="F104" s="551">
        <v>0.04</v>
      </c>
      <c r="G104" s="551">
        <v>0.04</v>
      </c>
      <c r="H104" s="551">
        <v>0.04</v>
      </c>
      <c r="J104" s="19" t="s">
        <v>1061</v>
      </c>
      <c r="K104" s="8">
        <v>7.0000000000000001E-3</v>
      </c>
    </row>
    <row r="105" spans="1:11" ht="43.5" thickBot="1" x14ac:dyDescent="0.25">
      <c r="A105" s="549" t="s">
        <v>1255</v>
      </c>
      <c r="B105" s="550">
        <v>7.4999999999999997E-2</v>
      </c>
      <c r="C105" s="551">
        <v>3.5000000000000003E-2</v>
      </c>
      <c r="D105" s="551">
        <v>3.5000000000000003E-2</v>
      </c>
      <c r="E105" s="551">
        <v>3.5000000000000003E-2</v>
      </c>
      <c r="F105" s="551">
        <v>0.03</v>
      </c>
      <c r="G105" s="551">
        <v>0.03</v>
      </c>
      <c r="H105" s="551">
        <v>0.03</v>
      </c>
      <c r="J105" s="19" t="s">
        <v>1062</v>
      </c>
      <c r="K105" s="8">
        <v>7.1999999999999998E-3</v>
      </c>
    </row>
    <row r="106" spans="1:11" ht="57.75" thickBot="1" x14ac:dyDescent="0.25">
      <c r="A106" s="549" t="s">
        <v>1257</v>
      </c>
      <c r="B106" s="550">
        <v>6.4000000000000001E-2</v>
      </c>
      <c r="C106" s="551">
        <v>6.4000000000000001E-2</v>
      </c>
      <c r="D106" s="551">
        <v>6.4000000000000001E-2</v>
      </c>
      <c r="E106" s="551">
        <v>6.4000000000000001E-2</v>
      </c>
      <c r="F106" s="551">
        <v>6.4000000000000001E-2</v>
      </c>
      <c r="G106" s="551">
        <v>6.4000000000000001E-2</v>
      </c>
      <c r="H106" s="551">
        <v>6.4000000000000001E-2</v>
      </c>
      <c r="J106" s="19" t="s">
        <v>1327</v>
      </c>
      <c r="K106" s="111">
        <v>7.4999999999999997E-3</v>
      </c>
    </row>
    <row r="107" spans="1:11" x14ac:dyDescent="0.2">
      <c r="A107" s="544" t="s">
        <v>1256</v>
      </c>
    </row>
    <row r="108" spans="1:11" x14ac:dyDescent="0.2">
      <c r="A108" s="545" t="s">
        <v>1258</v>
      </c>
    </row>
    <row r="109" spans="1:11" x14ac:dyDescent="0.2">
      <c r="A109" s="19"/>
      <c r="D109" s="487"/>
    </row>
    <row r="110" spans="1:11" ht="45.75" thickBot="1" x14ac:dyDescent="0.25">
      <c r="A110" s="552" t="s">
        <v>1328</v>
      </c>
      <c r="B110" s="6"/>
      <c r="C110" s="6"/>
      <c r="D110" s="6"/>
      <c r="E110" s="6"/>
      <c r="F110" s="6"/>
      <c r="G110" s="6"/>
      <c r="H110" s="6"/>
    </row>
    <row r="111" spans="1:11" ht="15.75" thickBot="1" x14ac:dyDescent="0.25">
      <c r="A111" s="553"/>
      <c r="B111" s="573" t="s">
        <v>1133</v>
      </c>
      <c r="C111" s="574"/>
      <c r="D111" s="575"/>
      <c r="E111" s="575"/>
      <c r="F111" s="576"/>
      <c r="G111" s="577" t="s">
        <v>1134</v>
      </c>
      <c r="H111" s="576"/>
    </row>
    <row r="112" spans="1:11" ht="15.75" thickBot="1" x14ac:dyDescent="0.25">
      <c r="A112" s="553" t="s">
        <v>1135</v>
      </c>
      <c r="B112" s="554" t="s">
        <v>1136</v>
      </c>
      <c r="C112" s="554" t="s">
        <v>1137</v>
      </c>
      <c r="D112" s="554" t="s">
        <v>1063</v>
      </c>
      <c r="E112" s="554" t="s">
        <v>1058</v>
      </c>
      <c r="F112" s="554" t="s">
        <v>1059</v>
      </c>
      <c r="G112" s="583" t="s">
        <v>1385</v>
      </c>
      <c r="H112" s="584"/>
    </row>
    <row r="113" spans="1:8" ht="15" thickBot="1" x14ac:dyDescent="0.25">
      <c r="A113" s="555" t="s">
        <v>543</v>
      </c>
      <c r="B113" s="556">
        <v>0.35899999999999999</v>
      </c>
      <c r="C113" s="556">
        <v>0.35899999999999999</v>
      </c>
      <c r="D113" s="556">
        <v>0.35399999999999998</v>
      </c>
      <c r="E113" s="556">
        <v>0.34399999999999997</v>
      </c>
      <c r="F113" s="556">
        <v>0.35499999999999998</v>
      </c>
      <c r="G113" s="585">
        <v>0.36799999999999999</v>
      </c>
      <c r="H113" s="586"/>
    </row>
    <row r="114" spans="1:8" ht="15" thickBot="1" x14ac:dyDescent="0.25">
      <c r="A114" s="555" t="s">
        <v>544</v>
      </c>
      <c r="B114" s="556">
        <v>0.45900000000000002</v>
      </c>
      <c r="C114" s="556">
        <v>0.438</v>
      </c>
      <c r="D114" s="556">
        <v>0.42799999999999999</v>
      </c>
      <c r="E114" s="556">
        <v>0.42799999999999999</v>
      </c>
      <c r="F114" s="556">
        <v>0.42799999999999999</v>
      </c>
      <c r="G114" s="585">
        <v>0.44800000000000001</v>
      </c>
      <c r="H114" s="586"/>
    </row>
    <row r="115" spans="1:8" ht="30.75" thickBot="1" x14ac:dyDescent="0.25">
      <c r="A115" s="555" t="s">
        <v>1370</v>
      </c>
      <c r="B115" s="556">
        <v>0.16400000000000001</v>
      </c>
      <c r="C115" s="556">
        <v>0.14399999999999999</v>
      </c>
      <c r="D115" s="556">
        <v>0.14000000000000001</v>
      </c>
      <c r="E115" s="556">
        <v>0.122</v>
      </c>
      <c r="F115" s="556">
        <v>0.14699999999999999</v>
      </c>
      <c r="G115" s="585">
        <v>0.153</v>
      </c>
      <c r="H115" s="586"/>
    </row>
    <row r="116" spans="1:8" ht="29.25" thickBot="1" x14ac:dyDescent="0.25">
      <c r="A116" s="555" t="s">
        <v>1138</v>
      </c>
      <c r="B116" s="556">
        <v>5.5E-2</v>
      </c>
      <c r="C116" s="556">
        <v>4.2000000000000003E-2</v>
      </c>
      <c r="D116" s="556">
        <v>5.2999999999999999E-2</v>
      </c>
      <c r="E116" s="556">
        <v>5.3999999999999999E-2</v>
      </c>
      <c r="F116" s="556">
        <v>4.3999999999999997E-2</v>
      </c>
      <c r="G116" s="585">
        <v>0.05</v>
      </c>
      <c r="H116" s="586"/>
    </row>
    <row r="117" spans="1:8" ht="29.25" thickBot="1" x14ac:dyDescent="0.25">
      <c r="A117" s="555" t="s">
        <v>1139</v>
      </c>
      <c r="B117" s="556">
        <v>2.4E-2</v>
      </c>
      <c r="C117" s="556">
        <v>2.5999999999999999E-2</v>
      </c>
      <c r="D117" s="556">
        <v>2.8000000000000001E-2</v>
      </c>
      <c r="E117" s="556">
        <v>2.3E-2</v>
      </c>
      <c r="F117" s="556">
        <v>0.03</v>
      </c>
      <c r="G117" s="585">
        <v>2.3E-2</v>
      </c>
      <c r="H117" s="586"/>
    </row>
    <row r="118" spans="1:8" ht="14.25" x14ac:dyDescent="0.2">
      <c r="A118" s="578" t="s">
        <v>1140</v>
      </c>
      <c r="B118" s="578"/>
      <c r="C118" s="578"/>
      <c r="D118" s="578"/>
      <c r="E118" s="578"/>
      <c r="F118" s="578"/>
      <c r="G118" s="578"/>
      <c r="H118" s="578"/>
    </row>
    <row r="119" spans="1:8" ht="71.25" x14ac:dyDescent="0.2">
      <c r="A119" s="593" t="s">
        <v>1386</v>
      </c>
    </row>
    <row r="120" spans="1:8" x14ac:dyDescent="0.2">
      <c r="A120" s="19" t="s">
        <v>1261</v>
      </c>
    </row>
    <row r="121" spans="1:8" x14ac:dyDescent="0.2">
      <c r="A121" s="6"/>
      <c r="C121" s="6"/>
      <c r="D121" s="488"/>
    </row>
    <row r="122" spans="1:8" x14ac:dyDescent="0.2">
      <c r="A122" s="6"/>
      <c r="C122" s="6"/>
      <c r="D122" s="488"/>
    </row>
    <row r="123" spans="1:8" x14ac:dyDescent="0.2">
      <c r="C123" s="6"/>
      <c r="D123" s="488"/>
    </row>
    <row r="126" spans="1:8" ht="33.75" customHeight="1" x14ac:dyDescent="0.2"/>
    <row r="130" customFormat="1" ht="33.75" customHeight="1" x14ac:dyDescent="0.2"/>
    <row r="131" customFormat="1" ht="36" customHeight="1" x14ac:dyDescent="0.2"/>
    <row r="132" customFormat="1" ht="33" customHeight="1" x14ac:dyDescent="0.2"/>
  </sheetData>
  <sheetProtection algorithmName="SHA-512" hashValue="mx9/ZaZ+KL4UTm3ooM8WZJ0QaXCVp1GJwXBeVGD7kFhQRPi9uOUOG+U9AdJ78PPI7G6IPvrNsSSg8fjfy0WoHQ==" saltValue="ChehjO2evqLzoM59wK5S/Q==" spinCount="100000" sheet="1" objects="1" scenarios="1"/>
  <mergeCells count="25">
    <mergeCell ref="G116:H116"/>
    <mergeCell ref="G117:H117"/>
    <mergeCell ref="M16:N16"/>
    <mergeCell ref="M28:N28"/>
    <mergeCell ref="I16:J16"/>
    <mergeCell ref="I28:J28"/>
    <mergeCell ref="G115:H115"/>
    <mergeCell ref="K16:L16"/>
    <mergeCell ref="K28:L28"/>
    <mergeCell ref="A8:C8"/>
    <mergeCell ref="B111:C111"/>
    <mergeCell ref="D111:F111"/>
    <mergeCell ref="G111:H111"/>
    <mergeCell ref="A118:H118"/>
    <mergeCell ref="C16:D16"/>
    <mergeCell ref="E16:F16"/>
    <mergeCell ref="G16:H16"/>
    <mergeCell ref="C28:D28"/>
    <mergeCell ref="E28:F28"/>
    <mergeCell ref="G28:H28"/>
    <mergeCell ref="A54:D54"/>
    <mergeCell ref="A55:D55"/>
    <mergeCell ref="G112:H112"/>
    <mergeCell ref="G113:H113"/>
    <mergeCell ref="G114:H114"/>
  </mergeCells>
  <phoneticPr fontId="4" type="noConversion"/>
  <hyperlinks>
    <hyperlink ref="A99" r:id="rId1" xr:uid="{00000000-0004-0000-0700-000000000000}"/>
    <hyperlink ref="J101" r:id="rId2" xr:uid="{51D21561-0FEC-4CBA-8C25-57AFA6F538EF}"/>
  </hyperlinks>
  <pageMargins left="0.75" right="0.75" top="1" bottom="1" header="0.5" footer="0.5"/>
  <pageSetup scale="64" orientation="landscape" r:id="rId3"/>
  <headerFooter alignWithMargins="0">
    <oddFooter>&amp;C&amp;P</oddFooter>
  </headerFooter>
  <rowBreaks count="2" manualBreakCount="2">
    <brk id="40" max="16383" man="1"/>
    <brk id="8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indexed="29"/>
  </sheetPr>
  <dimension ref="A1:L31"/>
  <sheetViews>
    <sheetView workbookViewId="0">
      <selection activeCell="A32" sqref="A32"/>
    </sheetView>
  </sheetViews>
  <sheetFormatPr defaultRowHeight="12.75" x14ac:dyDescent="0.2"/>
  <cols>
    <col min="1" max="1" width="4.28515625" customWidth="1"/>
    <col min="5" max="5" width="14.85546875" customWidth="1"/>
    <col min="6" max="6" width="12.85546875" customWidth="1"/>
    <col min="7" max="10" width="12.140625" customWidth="1"/>
    <col min="11" max="11" width="14.42578125" customWidth="1"/>
    <col min="12" max="12" width="11.42578125" bestFit="1" customWidth="1"/>
    <col min="259" max="259" width="4.28515625" customWidth="1"/>
    <col min="264" max="267" width="12.140625" customWidth="1"/>
    <col min="515" max="515" width="4.28515625" customWidth="1"/>
    <col min="520" max="523" width="12.140625" customWidth="1"/>
    <col min="771" max="771" width="4.28515625" customWidth="1"/>
    <col min="776" max="779" width="12.140625" customWidth="1"/>
    <col min="1027" max="1027" width="4.28515625" customWidth="1"/>
    <col min="1032" max="1035" width="12.140625" customWidth="1"/>
    <col min="1283" max="1283" width="4.28515625" customWidth="1"/>
    <col min="1288" max="1291" width="12.140625" customWidth="1"/>
    <col min="1539" max="1539" width="4.28515625" customWidth="1"/>
    <col min="1544" max="1547" width="12.140625" customWidth="1"/>
    <col min="1795" max="1795" width="4.28515625" customWidth="1"/>
    <col min="1800" max="1803" width="12.140625" customWidth="1"/>
    <col min="2051" max="2051" width="4.28515625" customWidth="1"/>
    <col min="2056" max="2059" width="12.140625" customWidth="1"/>
    <col min="2307" max="2307" width="4.28515625" customWidth="1"/>
    <col min="2312" max="2315" width="12.140625" customWidth="1"/>
    <col min="2563" max="2563" width="4.28515625" customWidth="1"/>
    <col min="2568" max="2571" width="12.140625" customWidth="1"/>
    <col min="2819" max="2819" width="4.28515625" customWidth="1"/>
    <col min="2824" max="2827" width="12.140625" customWidth="1"/>
    <col min="3075" max="3075" width="4.28515625" customWidth="1"/>
    <col min="3080" max="3083" width="12.140625" customWidth="1"/>
    <col min="3331" max="3331" width="4.28515625" customWidth="1"/>
    <col min="3336" max="3339" width="12.140625" customWidth="1"/>
    <col min="3587" max="3587" width="4.28515625" customWidth="1"/>
    <col min="3592" max="3595" width="12.140625" customWidth="1"/>
    <col min="3843" max="3843" width="4.28515625" customWidth="1"/>
    <col min="3848" max="3851" width="12.140625" customWidth="1"/>
    <col min="4099" max="4099" width="4.28515625" customWidth="1"/>
    <col min="4104" max="4107" width="12.140625" customWidth="1"/>
    <col min="4355" max="4355" width="4.28515625" customWidth="1"/>
    <col min="4360" max="4363" width="12.140625" customWidth="1"/>
    <col min="4611" max="4611" width="4.28515625" customWidth="1"/>
    <col min="4616" max="4619" width="12.140625" customWidth="1"/>
    <col min="4867" max="4867" width="4.28515625" customWidth="1"/>
    <col min="4872" max="4875" width="12.140625" customWidth="1"/>
    <col min="5123" max="5123" width="4.28515625" customWidth="1"/>
    <col min="5128" max="5131" width="12.140625" customWidth="1"/>
    <col min="5379" max="5379" width="4.28515625" customWidth="1"/>
    <col min="5384" max="5387" width="12.140625" customWidth="1"/>
    <col min="5635" max="5635" width="4.28515625" customWidth="1"/>
    <col min="5640" max="5643" width="12.140625" customWidth="1"/>
    <col min="5891" max="5891" width="4.28515625" customWidth="1"/>
    <col min="5896" max="5899" width="12.140625" customWidth="1"/>
    <col min="6147" max="6147" width="4.28515625" customWidth="1"/>
    <col min="6152" max="6155" width="12.140625" customWidth="1"/>
    <col min="6403" max="6403" width="4.28515625" customWidth="1"/>
    <col min="6408" max="6411" width="12.140625" customWidth="1"/>
    <col min="6659" max="6659" width="4.28515625" customWidth="1"/>
    <col min="6664" max="6667" width="12.140625" customWidth="1"/>
    <col min="6915" max="6915" width="4.28515625" customWidth="1"/>
    <col min="6920" max="6923" width="12.140625" customWidth="1"/>
    <col min="7171" max="7171" width="4.28515625" customWidth="1"/>
    <col min="7176" max="7179" width="12.140625" customWidth="1"/>
    <col min="7427" max="7427" width="4.28515625" customWidth="1"/>
    <col min="7432" max="7435" width="12.140625" customWidth="1"/>
    <col min="7683" max="7683" width="4.28515625" customWidth="1"/>
    <col min="7688" max="7691" width="12.140625" customWidth="1"/>
    <col min="7939" max="7939" width="4.28515625" customWidth="1"/>
    <col min="7944" max="7947" width="12.140625" customWidth="1"/>
    <col min="8195" max="8195" width="4.28515625" customWidth="1"/>
    <col min="8200" max="8203" width="12.140625" customWidth="1"/>
    <col min="8451" max="8451" width="4.28515625" customWidth="1"/>
    <col min="8456" max="8459" width="12.140625" customWidth="1"/>
    <col min="8707" max="8707" width="4.28515625" customWidth="1"/>
    <col min="8712" max="8715" width="12.140625" customWidth="1"/>
    <col min="8963" max="8963" width="4.28515625" customWidth="1"/>
    <col min="8968" max="8971" width="12.140625" customWidth="1"/>
    <col min="9219" max="9219" width="4.28515625" customWidth="1"/>
    <col min="9224" max="9227" width="12.140625" customWidth="1"/>
    <col min="9475" max="9475" width="4.28515625" customWidth="1"/>
    <col min="9480" max="9483" width="12.140625" customWidth="1"/>
    <col min="9731" max="9731" width="4.28515625" customWidth="1"/>
    <col min="9736" max="9739" width="12.140625" customWidth="1"/>
    <col min="9987" max="9987" width="4.28515625" customWidth="1"/>
    <col min="9992" max="9995" width="12.140625" customWidth="1"/>
    <col min="10243" max="10243" width="4.28515625" customWidth="1"/>
    <col min="10248" max="10251" width="12.140625" customWidth="1"/>
    <col min="10499" max="10499" width="4.28515625" customWidth="1"/>
    <col min="10504" max="10507" width="12.140625" customWidth="1"/>
    <col min="10755" max="10755" width="4.28515625" customWidth="1"/>
    <col min="10760" max="10763" width="12.140625" customWidth="1"/>
    <col min="11011" max="11011" width="4.28515625" customWidth="1"/>
    <col min="11016" max="11019" width="12.140625" customWidth="1"/>
    <col min="11267" max="11267" width="4.28515625" customWidth="1"/>
    <col min="11272" max="11275" width="12.140625" customWidth="1"/>
    <col min="11523" max="11523" width="4.28515625" customWidth="1"/>
    <col min="11528" max="11531" width="12.140625" customWidth="1"/>
    <col min="11779" max="11779" width="4.28515625" customWidth="1"/>
    <col min="11784" max="11787" width="12.140625" customWidth="1"/>
    <col min="12035" max="12035" width="4.28515625" customWidth="1"/>
    <col min="12040" max="12043" width="12.140625" customWidth="1"/>
    <col min="12291" max="12291" width="4.28515625" customWidth="1"/>
    <col min="12296" max="12299" width="12.140625" customWidth="1"/>
    <col min="12547" max="12547" width="4.28515625" customWidth="1"/>
    <col min="12552" max="12555" width="12.140625" customWidth="1"/>
    <col min="12803" max="12803" width="4.28515625" customWidth="1"/>
    <col min="12808" max="12811" width="12.140625" customWidth="1"/>
    <col min="13059" max="13059" width="4.28515625" customWidth="1"/>
    <col min="13064" max="13067" width="12.140625" customWidth="1"/>
    <col min="13315" max="13315" width="4.28515625" customWidth="1"/>
    <col min="13320" max="13323" width="12.140625" customWidth="1"/>
    <col min="13571" max="13571" width="4.28515625" customWidth="1"/>
    <col min="13576" max="13579" width="12.140625" customWidth="1"/>
    <col min="13827" max="13827" width="4.28515625" customWidth="1"/>
    <col min="13832" max="13835" width="12.140625" customWidth="1"/>
    <col min="14083" max="14083" width="4.28515625" customWidth="1"/>
    <col min="14088" max="14091" width="12.140625" customWidth="1"/>
    <col min="14339" max="14339" width="4.28515625" customWidth="1"/>
    <col min="14344" max="14347" width="12.140625" customWidth="1"/>
    <col min="14595" max="14595" width="4.28515625" customWidth="1"/>
    <col min="14600" max="14603" width="12.140625" customWidth="1"/>
    <col min="14851" max="14851" width="4.28515625" customWidth="1"/>
    <col min="14856" max="14859" width="12.140625" customWidth="1"/>
    <col min="15107" max="15107" width="4.28515625" customWidth="1"/>
    <col min="15112" max="15115" width="12.140625" customWidth="1"/>
    <col min="15363" max="15363" width="4.28515625" customWidth="1"/>
    <col min="15368" max="15371" width="12.140625" customWidth="1"/>
    <col min="15619" max="15619" width="4.28515625" customWidth="1"/>
    <col min="15624" max="15627" width="12.140625" customWidth="1"/>
    <col min="15875" max="15875" width="4.28515625" customWidth="1"/>
    <col min="15880" max="15883" width="12.140625" customWidth="1"/>
    <col min="16131" max="16131" width="4.28515625" customWidth="1"/>
    <col min="16136" max="16139" width="12.140625" customWidth="1"/>
  </cols>
  <sheetData>
    <row r="1" spans="1:11" x14ac:dyDescent="0.2">
      <c r="B1" s="19" t="s">
        <v>612</v>
      </c>
      <c r="F1">
        <f>Year1!C6</f>
        <v>0</v>
      </c>
      <c r="K1" s="19" t="s">
        <v>613</v>
      </c>
    </row>
    <row r="2" spans="1:11" ht="13.5" thickBot="1" x14ac:dyDescent="0.25"/>
    <row r="3" spans="1:11" x14ac:dyDescent="0.2">
      <c r="A3" s="587" t="s">
        <v>614</v>
      </c>
      <c r="B3" s="588"/>
      <c r="C3" s="588"/>
      <c r="D3" s="588"/>
      <c r="E3" s="588"/>
      <c r="F3" s="588"/>
      <c r="G3" s="588"/>
      <c r="H3" s="588"/>
      <c r="I3" s="588"/>
      <c r="J3" s="588"/>
      <c r="K3" s="589"/>
    </row>
    <row r="4" spans="1:11" x14ac:dyDescent="0.2">
      <c r="A4" s="130"/>
      <c r="B4" s="47"/>
      <c r="C4" s="47"/>
      <c r="D4" s="47"/>
      <c r="E4" s="131">
        <f>Year1!H6</f>
        <v>46204</v>
      </c>
      <c r="F4" s="47" t="s">
        <v>615</v>
      </c>
      <c r="G4" s="131">
        <f>Year1!H7</f>
        <v>48029</v>
      </c>
      <c r="H4" s="47"/>
      <c r="I4" s="47"/>
      <c r="J4" s="47"/>
      <c r="K4" s="132"/>
    </row>
    <row r="5" spans="1:11" ht="13.5" thickBot="1" x14ac:dyDescent="0.25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5" t="str">
        <f>Year1!H4</f>
        <v>Ver.14.6 3/25</v>
      </c>
    </row>
    <row r="6" spans="1:11" ht="13.5" thickBot="1" x14ac:dyDescent="0.25"/>
    <row r="7" spans="1:11" x14ac:dyDescent="0.2">
      <c r="A7" s="136"/>
      <c r="B7" s="137"/>
      <c r="C7" s="137"/>
      <c r="D7" s="137"/>
      <c r="E7" s="138" t="s">
        <v>616</v>
      </c>
      <c r="F7" s="189">
        <f>Year1!B8</f>
        <v>46204</v>
      </c>
      <c r="G7" s="189">
        <f>Year2!B8</f>
        <v>46569</v>
      </c>
      <c r="H7" s="189">
        <f>Year3!B8</f>
        <v>46935</v>
      </c>
      <c r="I7" s="190">
        <f>Year4!B8</f>
        <v>47300</v>
      </c>
      <c r="J7" s="190">
        <f>Year5!B8</f>
        <v>47665</v>
      </c>
      <c r="K7" s="139"/>
    </row>
    <row r="8" spans="1:11" x14ac:dyDescent="0.2">
      <c r="A8" s="140"/>
      <c r="E8" s="141" t="s">
        <v>617</v>
      </c>
      <c r="F8" s="191">
        <f>Year1!D8</f>
        <v>46568</v>
      </c>
      <c r="G8" s="191">
        <f>Year2!D8</f>
        <v>46934</v>
      </c>
      <c r="H8" s="191">
        <f>Year3!D8</f>
        <v>47299</v>
      </c>
      <c r="I8" s="192">
        <f>Year4!D8</f>
        <v>47664</v>
      </c>
      <c r="J8" s="192">
        <f>Year5!D8</f>
        <v>48029</v>
      </c>
      <c r="K8" s="142"/>
    </row>
    <row r="9" spans="1:11" x14ac:dyDescent="0.2">
      <c r="A9" s="143" t="s">
        <v>618</v>
      </c>
      <c r="B9" s="34"/>
      <c r="C9" s="34"/>
      <c r="D9" s="34"/>
      <c r="E9" s="119"/>
      <c r="F9" s="144" t="s">
        <v>619</v>
      </c>
      <c r="G9" s="144" t="s">
        <v>620</v>
      </c>
      <c r="H9" s="144" t="s">
        <v>621</v>
      </c>
      <c r="I9" s="144" t="s">
        <v>631</v>
      </c>
      <c r="J9" s="144" t="s">
        <v>632</v>
      </c>
      <c r="K9" s="145" t="s">
        <v>99</v>
      </c>
    </row>
    <row r="10" spans="1:11" x14ac:dyDescent="0.2">
      <c r="A10" s="146" t="s">
        <v>633</v>
      </c>
      <c r="B10" s="147"/>
      <c r="C10" s="147"/>
      <c r="D10" s="147"/>
      <c r="E10" s="148"/>
      <c r="F10" s="173">
        <f ca="1">Year1!H169-SUM(Year1!H158:H161)+Year1!G162</f>
        <v>0</v>
      </c>
      <c r="G10" s="173">
        <f>Year2!H169-SUM(Year2!H158:H161)+Year2!G162</f>
        <v>0</v>
      </c>
      <c r="H10" s="173">
        <f>Year3!H169-SUM(Year3!H158:H161)+Year3!G162</f>
        <v>0</v>
      </c>
      <c r="I10" s="173">
        <f>Year4!H169-SUM(Year4!H158:H161)+Year4!G162</f>
        <v>0</v>
      </c>
      <c r="J10" s="173">
        <f>Year5!H169-SUM(Year5!H158:H161)+Year5!G162</f>
        <v>0</v>
      </c>
      <c r="K10" s="174">
        <f ca="1">SUM(F10:J10)</f>
        <v>0</v>
      </c>
    </row>
    <row r="11" spans="1:11" x14ac:dyDescent="0.2">
      <c r="A11" s="151" t="s">
        <v>23</v>
      </c>
      <c r="B11" s="147"/>
      <c r="C11" s="147"/>
      <c r="D11" s="147"/>
      <c r="E11" s="148"/>
      <c r="F11" s="173">
        <f>Summary_Budget!C21</f>
        <v>0</v>
      </c>
      <c r="G11" s="173">
        <f>Summary_Budget!D21</f>
        <v>0</v>
      </c>
      <c r="H11" s="173">
        <f>Summary_Budget!E21</f>
        <v>0</v>
      </c>
      <c r="I11" s="173">
        <f>Summary_Budget!F21</f>
        <v>0</v>
      </c>
      <c r="J11" s="173">
        <f>Summary_Budget!G21</f>
        <v>0</v>
      </c>
      <c r="K11" s="174">
        <f t="shared" ref="K11:K24" si="0">SUM(F11:J11)</f>
        <v>0</v>
      </c>
    </row>
    <row r="12" spans="1:11" x14ac:dyDescent="0.2">
      <c r="A12" s="146" t="s">
        <v>622</v>
      </c>
      <c r="B12" s="147"/>
      <c r="C12" s="147"/>
      <c r="D12" s="147"/>
      <c r="E12" s="148"/>
      <c r="F12" s="173">
        <f>Summary_Budget!C32-Summary_Budget!C30-Summary_Budget!C29</f>
        <v>0</v>
      </c>
      <c r="G12" s="173">
        <f>Summary_Budget!D32-Summary_Budget!D30-Summary_Budget!D29</f>
        <v>0</v>
      </c>
      <c r="H12" s="173">
        <f>Summary_Budget!E32-Summary_Budget!E30-Summary_Budget!E29</f>
        <v>0</v>
      </c>
      <c r="I12" s="173">
        <f>Summary_Budget!F32-Summary_Budget!F30-Summary_Budget!F29</f>
        <v>0</v>
      </c>
      <c r="J12" s="173">
        <f>Summary_Budget!G32-Summary_Budget!G30-Summary_Budget!G29</f>
        <v>0</v>
      </c>
      <c r="K12" s="174">
        <f>SUM(F12:J12)</f>
        <v>0</v>
      </c>
    </row>
    <row r="13" spans="1:11" x14ac:dyDescent="0.2">
      <c r="A13" s="146" t="s">
        <v>35</v>
      </c>
      <c r="B13" s="147"/>
      <c r="C13" s="147"/>
      <c r="D13" s="147"/>
      <c r="E13" s="148"/>
      <c r="F13" s="173">
        <f>Summary_Budget!C22</f>
        <v>0</v>
      </c>
      <c r="G13" s="173">
        <f>Summary_Budget!D22</f>
        <v>0</v>
      </c>
      <c r="H13" s="173">
        <f>Summary_Budget!E22</f>
        <v>0</v>
      </c>
      <c r="I13" s="173">
        <f>Year4!H191</f>
        <v>0</v>
      </c>
      <c r="J13" s="173">
        <f>Summary_Budget!G22</f>
        <v>0</v>
      </c>
      <c r="K13" s="174">
        <f t="shared" si="0"/>
        <v>0</v>
      </c>
    </row>
    <row r="14" spans="1:11" x14ac:dyDescent="0.2">
      <c r="A14" s="146" t="s">
        <v>623</v>
      </c>
      <c r="B14" s="147"/>
      <c r="C14" s="147"/>
      <c r="D14" s="147"/>
      <c r="E14" s="148"/>
      <c r="F14" s="173">
        <f>Summary_Budget!C30</f>
        <v>0</v>
      </c>
      <c r="G14" s="173">
        <f>Summary_Budget!D30</f>
        <v>0</v>
      </c>
      <c r="H14" s="173">
        <f>Summary_Budget!E30</f>
        <v>0</v>
      </c>
      <c r="I14" s="173">
        <f>Summary_Budget!F22</f>
        <v>0</v>
      </c>
      <c r="J14" s="173">
        <f>Summary_Budget!G30</f>
        <v>0</v>
      </c>
      <c r="K14" s="174">
        <f t="shared" si="0"/>
        <v>0</v>
      </c>
    </row>
    <row r="15" spans="1:11" x14ac:dyDescent="0.2">
      <c r="A15" s="146" t="s">
        <v>1354</v>
      </c>
      <c r="B15" s="147"/>
      <c r="C15" s="147"/>
      <c r="D15" s="147"/>
      <c r="E15" s="148"/>
      <c r="F15" s="173">
        <f>Summary_Budget!C25</f>
        <v>0</v>
      </c>
      <c r="G15" s="173">
        <f>Summary_Budget!D25</f>
        <v>0</v>
      </c>
      <c r="H15" s="173">
        <f>Summary_Budget!E25</f>
        <v>0</v>
      </c>
      <c r="I15" s="173">
        <f>Summary_Budget!F25</f>
        <v>0</v>
      </c>
      <c r="J15" s="173">
        <f>Summary_Budget!G25</f>
        <v>0</v>
      </c>
      <c r="K15" s="174"/>
    </row>
    <row r="16" spans="1:11" x14ac:dyDescent="0.2">
      <c r="A16" s="151" t="s">
        <v>624</v>
      </c>
      <c r="B16" s="147"/>
      <c r="C16" s="147"/>
      <c r="D16" s="147"/>
      <c r="E16" s="152"/>
      <c r="F16" s="173">
        <f>Summary_Budget!C38</f>
        <v>0</v>
      </c>
      <c r="G16" s="173">
        <f>Summary_Budget!D38</f>
        <v>0</v>
      </c>
      <c r="H16" s="173">
        <f>Summary_Budget!E38</f>
        <v>0</v>
      </c>
      <c r="I16" s="173">
        <f>Summary_Budget!F38</f>
        <v>0</v>
      </c>
      <c r="J16" s="173">
        <f>Summary_Budget!G38</f>
        <v>0</v>
      </c>
      <c r="K16" s="174">
        <f t="shared" si="0"/>
        <v>0</v>
      </c>
    </row>
    <row r="17" spans="1:12" x14ac:dyDescent="0.2">
      <c r="A17" s="146" t="s">
        <v>625</v>
      </c>
      <c r="B17" s="147"/>
      <c r="C17" s="147"/>
      <c r="D17" s="147"/>
      <c r="E17" s="153"/>
      <c r="F17" s="149"/>
      <c r="G17" s="149"/>
      <c r="H17" s="149"/>
      <c r="I17" s="167"/>
      <c r="J17" s="167"/>
      <c r="K17" s="150"/>
    </row>
    <row r="18" spans="1:12" x14ac:dyDescent="0.2">
      <c r="A18" s="146"/>
      <c r="B18" s="147" t="s">
        <v>1356</v>
      </c>
      <c r="C18" s="147"/>
      <c r="D18" s="147"/>
      <c r="E18" s="154"/>
      <c r="F18" s="173">
        <f ca="1">SUM(Year1!H158:H161)</f>
        <v>0</v>
      </c>
      <c r="G18" s="173">
        <f>SUM(Year2!H158:H161)</f>
        <v>0</v>
      </c>
      <c r="H18" s="173">
        <f>SUM(Year3!H158:H161)</f>
        <v>0</v>
      </c>
      <c r="I18" s="173">
        <f>SUM(Year4!H158:H161)</f>
        <v>0</v>
      </c>
      <c r="J18" s="173">
        <f>SUM(Year5!H158:H161)</f>
        <v>0</v>
      </c>
      <c r="K18" s="174">
        <f t="shared" ca="1" si="0"/>
        <v>0</v>
      </c>
    </row>
    <row r="19" spans="1:12" x14ac:dyDescent="0.2">
      <c r="A19" s="146"/>
      <c r="B19" s="147" t="s">
        <v>1355</v>
      </c>
      <c r="C19" s="147"/>
      <c r="D19" s="147"/>
      <c r="E19" s="154"/>
      <c r="F19" s="173">
        <f>Summary_Budget!C28</f>
        <v>0</v>
      </c>
      <c r="G19" s="173">
        <f>Summary_Budget!D28</f>
        <v>0</v>
      </c>
      <c r="H19" s="173">
        <f>Summary_Budget!E28</f>
        <v>0</v>
      </c>
      <c r="I19" s="173">
        <f>Summary_Budget!F28</f>
        <v>0</v>
      </c>
      <c r="J19" s="173">
        <f>Summary_Budget!G28</f>
        <v>0</v>
      </c>
      <c r="K19" s="174">
        <f t="shared" si="0"/>
        <v>0</v>
      </c>
    </row>
    <row r="20" spans="1:12" x14ac:dyDescent="0.2">
      <c r="A20" s="146"/>
      <c r="B20" s="147" t="s">
        <v>1357</v>
      </c>
      <c r="C20" s="147"/>
      <c r="D20" s="147"/>
      <c r="E20" s="154"/>
      <c r="F20" s="173">
        <f>Summary_Budget!C24</f>
        <v>0</v>
      </c>
      <c r="G20" s="173">
        <f>Summary_Budget!D24</f>
        <v>0</v>
      </c>
      <c r="H20" s="173">
        <f>Summary_Budget!E24</f>
        <v>0</v>
      </c>
      <c r="I20" s="543">
        <f>Summary_Budget!F24</f>
        <v>0</v>
      </c>
      <c r="J20" s="543">
        <f>Summary_Budget!G24</f>
        <v>0</v>
      </c>
      <c r="K20" s="174">
        <f t="shared" si="0"/>
        <v>0</v>
      </c>
    </row>
    <row r="21" spans="1:12" x14ac:dyDescent="0.2">
      <c r="A21" s="146"/>
      <c r="B21" s="147" t="s">
        <v>1358</v>
      </c>
      <c r="C21" s="147"/>
      <c r="D21" s="147"/>
      <c r="E21" s="154"/>
      <c r="F21" s="173">
        <f>Summary_Budget!C27</f>
        <v>0</v>
      </c>
      <c r="G21" s="173">
        <f>Summary_Budget!D27</f>
        <v>0</v>
      </c>
      <c r="H21" s="173">
        <f>Summary_Budget!E27</f>
        <v>0</v>
      </c>
      <c r="I21" s="543">
        <f>Summary_Budget!F27</f>
        <v>0</v>
      </c>
      <c r="J21" s="543">
        <f>Summary_Budget!G27</f>
        <v>0</v>
      </c>
      <c r="K21" s="174">
        <f t="shared" si="0"/>
        <v>0</v>
      </c>
    </row>
    <row r="22" spans="1:12" x14ac:dyDescent="0.2">
      <c r="A22" s="146"/>
      <c r="B22" s="147" t="s">
        <v>1315</v>
      </c>
      <c r="C22" s="147"/>
      <c r="D22" s="147"/>
      <c r="E22" s="154"/>
      <c r="F22" s="173">
        <f>Summary_Budget!C32-Summary_Budget!C24-Summary_Budget!C25-Summary_Budget!C27-Summary_Budget!C28-Summary_Budget!C30</f>
        <v>0</v>
      </c>
      <c r="G22" s="173">
        <f>Summary_Budget!D32-Summary_Budget!D24-Summary_Budget!D25-Summary_Budget!D27-Summary_Budget!D28</f>
        <v>0</v>
      </c>
      <c r="H22" s="173">
        <f>Summary_Budget!E32-Summary_Budget!E24-Summary_Budget!E25-Summary_Budget!E27-Summary_Budget!E28</f>
        <v>0</v>
      </c>
      <c r="I22" s="543">
        <f>Summary_Budget!F32-Summary_Budget!F24-Summary_Budget!F25-Summary_Budget!F27-Summary_Budget!F28</f>
        <v>0</v>
      </c>
      <c r="J22" s="543">
        <f>Summary_Budget!G32-Summary_Budget!G24-Summary_Budget!G25-Summary_Budget!G27-Summary_Budget!G28</f>
        <v>0</v>
      </c>
      <c r="K22" s="174">
        <f t="shared" si="0"/>
        <v>0</v>
      </c>
    </row>
    <row r="23" spans="1:12" x14ac:dyDescent="0.2">
      <c r="A23" s="181"/>
      <c r="B23" s="182"/>
      <c r="C23" s="182"/>
      <c r="D23" s="182"/>
      <c r="E23" s="183"/>
      <c r="F23" s="184"/>
      <c r="G23" s="184"/>
      <c r="H23" s="184"/>
      <c r="I23" s="185"/>
      <c r="J23" s="185"/>
      <c r="K23" s="186"/>
    </row>
    <row r="24" spans="1:12" x14ac:dyDescent="0.2">
      <c r="A24" s="155" t="s">
        <v>48</v>
      </c>
      <c r="B24" s="147"/>
      <c r="C24" s="147"/>
      <c r="D24" s="147"/>
      <c r="E24" s="148"/>
      <c r="F24" s="187">
        <f ca="1">F10+F11+F12+F13+F14+F15+F16+F18+F19+F20+F21+F22</f>
        <v>0</v>
      </c>
      <c r="G24" s="187">
        <f t="shared" ref="G24:J24" si="1">G10+G11+G12+G13+G14+G15+G16+G18+G19+G20+G21+G22</f>
        <v>0</v>
      </c>
      <c r="H24" s="187">
        <f t="shared" si="1"/>
        <v>0</v>
      </c>
      <c r="I24" s="187">
        <f t="shared" si="1"/>
        <v>0</v>
      </c>
      <c r="J24" s="187">
        <f t="shared" si="1"/>
        <v>0</v>
      </c>
      <c r="K24" s="188">
        <f t="shared" ca="1" si="0"/>
        <v>0</v>
      </c>
    </row>
    <row r="25" spans="1:12" x14ac:dyDescent="0.2">
      <c r="A25" s="156" t="s">
        <v>626</v>
      </c>
      <c r="B25" s="2"/>
      <c r="C25" s="2"/>
      <c r="D25" s="2"/>
      <c r="E25" s="18"/>
      <c r="F25" s="157"/>
      <c r="G25" s="157"/>
      <c r="H25" s="157"/>
      <c r="I25" s="168"/>
      <c r="J25" s="168"/>
      <c r="K25" s="158"/>
    </row>
    <row r="26" spans="1:12" x14ac:dyDescent="0.2">
      <c r="A26" s="140"/>
      <c r="E26" s="159" t="s">
        <v>627</v>
      </c>
      <c r="F26" s="160"/>
      <c r="G26" s="160"/>
      <c r="H26" s="160"/>
      <c r="I26" s="5"/>
      <c r="J26" s="5"/>
      <c r="K26" s="161"/>
    </row>
    <row r="27" spans="1:12" x14ac:dyDescent="0.2">
      <c r="A27" s="140"/>
      <c r="E27" s="162" t="s">
        <v>628</v>
      </c>
      <c r="F27" s="176">
        <f ca="1">Summary_Budget!C41</f>
        <v>0</v>
      </c>
      <c r="G27" s="176">
        <f>Summary_Budget!D41</f>
        <v>0</v>
      </c>
      <c r="H27" s="176">
        <f>Summary_Budget!E41</f>
        <v>0</v>
      </c>
      <c r="I27" s="177">
        <f>Summary_Budget!F41</f>
        <v>0</v>
      </c>
      <c r="J27" s="177">
        <f>Summary_Budget!G41</f>
        <v>0</v>
      </c>
      <c r="K27" s="178">
        <f ca="1">SUM(F27:J27)</f>
        <v>0</v>
      </c>
    </row>
    <row r="28" spans="1:12" x14ac:dyDescent="0.2">
      <c r="A28" s="143" t="s">
        <v>634</v>
      </c>
      <c r="B28" s="34"/>
      <c r="C28" s="34"/>
      <c r="D28" s="34"/>
      <c r="E28" s="537">
        <f>Reference!E7</f>
        <v>0.35</v>
      </c>
      <c r="F28" s="170">
        <f ca="1">Summary_Budget!C42</f>
        <v>0</v>
      </c>
      <c r="G28" s="170">
        <f>Summary_Budget!D42</f>
        <v>0</v>
      </c>
      <c r="H28" s="170">
        <f>Summary_Budget!E42</f>
        <v>0</v>
      </c>
      <c r="I28" s="171">
        <f>Summary_Budget!F42</f>
        <v>0</v>
      </c>
      <c r="J28" s="171">
        <f>Summary_Budget!G42</f>
        <v>0</v>
      </c>
      <c r="K28" s="172">
        <f ca="1">SUM(F28:J28)</f>
        <v>0</v>
      </c>
    </row>
    <row r="29" spans="1:12" x14ac:dyDescent="0.2">
      <c r="A29" s="155" t="s">
        <v>629</v>
      </c>
      <c r="B29" s="163"/>
      <c r="C29" s="163"/>
      <c r="D29" s="163"/>
      <c r="E29" s="164"/>
      <c r="F29" s="175">
        <f ca="1">Summary_Budget!C43</f>
        <v>0</v>
      </c>
      <c r="G29" s="175">
        <f>Summary_Budget!D43</f>
        <v>0</v>
      </c>
      <c r="H29" s="175">
        <f>Summary_Budget!E43</f>
        <v>0</v>
      </c>
      <c r="I29" s="179">
        <f>Summary_Budget!F43</f>
        <v>0</v>
      </c>
      <c r="J29" s="179">
        <f>Summary_Budget!G43</f>
        <v>0</v>
      </c>
      <c r="K29" s="165"/>
    </row>
    <row r="30" spans="1:12" ht="27.6" customHeight="1" thickBot="1" x14ac:dyDescent="0.25">
      <c r="A30" s="590" t="s">
        <v>630</v>
      </c>
      <c r="B30" s="591"/>
      <c r="C30" s="591"/>
      <c r="D30" s="591"/>
      <c r="E30" s="592"/>
      <c r="F30" s="166"/>
      <c r="G30" s="166"/>
      <c r="H30" s="166"/>
      <c r="I30" s="169"/>
      <c r="J30" s="169"/>
      <c r="K30" s="180">
        <f ca="1">Summary_Budget!H43</f>
        <v>0</v>
      </c>
      <c r="L30" s="193"/>
    </row>
    <row r="31" spans="1:12" ht="15.75" x14ac:dyDescent="0.25">
      <c r="A31" s="535" t="s">
        <v>1368</v>
      </c>
      <c r="B31" s="536"/>
      <c r="C31" s="536"/>
      <c r="D31" s="536"/>
      <c r="E31" s="536"/>
      <c r="F31" s="536"/>
      <c r="G31" s="536"/>
      <c r="H31" s="536"/>
      <c r="I31" s="536"/>
    </row>
  </sheetData>
  <mergeCells count="2">
    <mergeCell ref="A3:K3"/>
    <mergeCell ref="A30:E30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indexed="26"/>
  </sheetPr>
  <dimension ref="A1:J92"/>
  <sheetViews>
    <sheetView zoomScaleNormal="100" workbookViewId="0">
      <selection activeCell="M29" sqref="M29"/>
    </sheetView>
  </sheetViews>
  <sheetFormatPr defaultRowHeight="12.75" x14ac:dyDescent="0.2"/>
  <cols>
    <col min="2" max="2" width="2.140625" customWidth="1"/>
    <col min="3" max="3" width="22.5703125" customWidth="1"/>
    <col min="10" max="10" width="16" customWidth="1"/>
  </cols>
  <sheetData>
    <row r="1" spans="1:10" ht="23.25" x14ac:dyDescent="0.35">
      <c r="D1" s="198" t="s">
        <v>256</v>
      </c>
      <c r="E1" s="97"/>
      <c r="F1" s="97"/>
      <c r="G1" s="97"/>
      <c r="H1" s="97"/>
    </row>
    <row r="2" spans="1:10" ht="18" x14ac:dyDescent="0.25">
      <c r="D2" s="103"/>
      <c r="E2" s="104"/>
      <c r="F2" s="104"/>
      <c r="G2" s="104"/>
      <c r="H2" s="104"/>
    </row>
    <row r="3" spans="1:10" ht="15.75" x14ac:dyDescent="0.25">
      <c r="C3" s="96"/>
      <c r="D3" s="19"/>
      <c r="E3" s="19"/>
      <c r="F3" s="19"/>
      <c r="G3" s="19"/>
      <c r="H3" s="19"/>
      <c r="I3" s="19"/>
      <c r="J3" s="19"/>
    </row>
    <row r="4" spans="1:10" ht="18" x14ac:dyDescent="0.25">
      <c r="A4" s="102" t="s">
        <v>462</v>
      </c>
      <c r="C4" s="1"/>
    </row>
    <row r="5" spans="1:10" ht="15.75" x14ac:dyDescent="0.25">
      <c r="A5" s="96" t="s">
        <v>255</v>
      </c>
      <c r="C5" s="321"/>
      <c r="D5" s="1" t="s">
        <v>1371</v>
      </c>
      <c r="E5" s="75"/>
      <c r="F5" s="75"/>
      <c r="G5" s="75"/>
      <c r="H5" s="75"/>
      <c r="I5" s="75"/>
    </row>
    <row r="7" spans="1:10" ht="15" x14ac:dyDescent="0.2">
      <c r="C7" s="322"/>
      <c r="D7" s="1" t="s">
        <v>1372</v>
      </c>
      <c r="E7" s="75"/>
      <c r="F7" s="75"/>
      <c r="G7" s="75"/>
    </row>
    <row r="9" spans="1:10" ht="15" x14ac:dyDescent="0.2">
      <c r="C9" s="323"/>
      <c r="D9" s="1" t="s">
        <v>1373</v>
      </c>
      <c r="E9" s="75"/>
      <c r="F9" s="75"/>
      <c r="G9" s="75"/>
    </row>
    <row r="11" spans="1:10" x14ac:dyDescent="0.2">
      <c r="C11" s="19" t="s">
        <v>254</v>
      </c>
      <c r="D11" t="s">
        <v>253</v>
      </c>
    </row>
    <row r="12" spans="1:10" x14ac:dyDescent="0.2">
      <c r="D12" t="s">
        <v>252</v>
      </c>
    </row>
    <row r="13" spans="1:10" x14ac:dyDescent="0.2">
      <c r="D13" t="s">
        <v>251</v>
      </c>
    </row>
    <row r="14" spans="1:10" x14ac:dyDescent="0.2">
      <c r="D14" t="s">
        <v>250</v>
      </c>
    </row>
    <row r="16" spans="1:10" x14ac:dyDescent="0.2">
      <c r="C16" s="19" t="s">
        <v>249</v>
      </c>
      <c r="E16" t="s">
        <v>248</v>
      </c>
    </row>
    <row r="17" spans="3:5" x14ac:dyDescent="0.2">
      <c r="E17" t="s">
        <v>247</v>
      </c>
    </row>
    <row r="18" spans="3:5" x14ac:dyDescent="0.2">
      <c r="E18" s="6" t="s">
        <v>652</v>
      </c>
    </row>
    <row r="19" spans="3:5" x14ac:dyDescent="0.2">
      <c r="E19" s="6" t="s">
        <v>653</v>
      </c>
    </row>
    <row r="20" spans="3:5" x14ac:dyDescent="0.2">
      <c r="E20" t="s">
        <v>246</v>
      </c>
    </row>
    <row r="22" spans="3:5" x14ac:dyDescent="0.2">
      <c r="C22" s="19" t="s">
        <v>200</v>
      </c>
      <c r="E22" t="s">
        <v>1362</v>
      </c>
    </row>
    <row r="23" spans="3:5" x14ac:dyDescent="0.2">
      <c r="E23" s="6" t="s">
        <v>245</v>
      </c>
    </row>
    <row r="24" spans="3:5" x14ac:dyDescent="0.2">
      <c r="E24" s="6" t="s">
        <v>1374</v>
      </c>
    </row>
    <row r="25" spans="3:5" x14ac:dyDescent="0.2">
      <c r="C25" s="19" t="s">
        <v>654</v>
      </c>
      <c r="E25" s="6" t="s">
        <v>1375</v>
      </c>
    </row>
    <row r="26" spans="3:5" x14ac:dyDescent="0.2">
      <c r="E26" s="6" t="s">
        <v>655</v>
      </c>
    </row>
    <row r="28" spans="3:5" x14ac:dyDescent="0.2">
      <c r="C28" s="19" t="s">
        <v>244</v>
      </c>
      <c r="D28" s="6" t="s">
        <v>4</v>
      </c>
      <c r="E28" t="s">
        <v>243</v>
      </c>
    </row>
    <row r="29" spans="3:5" x14ac:dyDescent="0.2">
      <c r="E29" t="s">
        <v>242</v>
      </c>
    </row>
    <row r="30" spans="3:5" x14ac:dyDescent="0.2">
      <c r="E30" t="s">
        <v>461</v>
      </c>
    </row>
    <row r="31" spans="3:5" x14ac:dyDescent="0.2">
      <c r="E31" t="s">
        <v>241</v>
      </c>
    </row>
    <row r="32" spans="3:5" x14ac:dyDescent="0.2">
      <c r="E32" t="s">
        <v>240</v>
      </c>
    </row>
    <row r="34" spans="4:5" x14ac:dyDescent="0.2">
      <c r="D34" s="6" t="s">
        <v>239</v>
      </c>
      <c r="E34" s="6" t="s">
        <v>1376</v>
      </c>
    </row>
    <row r="35" spans="4:5" x14ac:dyDescent="0.2">
      <c r="E35" t="s">
        <v>1363</v>
      </c>
    </row>
    <row r="36" spans="4:5" x14ac:dyDescent="0.2">
      <c r="E36" s="6" t="s">
        <v>1377</v>
      </c>
    </row>
    <row r="37" spans="4:5" x14ac:dyDescent="0.2">
      <c r="E37" t="s">
        <v>238</v>
      </c>
    </row>
    <row r="38" spans="4:5" x14ac:dyDescent="0.2">
      <c r="E38" t="s">
        <v>237</v>
      </c>
    </row>
    <row r="39" spans="4:5" x14ac:dyDescent="0.2">
      <c r="E39" t="s">
        <v>426</v>
      </c>
    </row>
    <row r="40" spans="4:5" x14ac:dyDescent="0.2">
      <c r="E40" s="6" t="s">
        <v>1378</v>
      </c>
    </row>
    <row r="41" spans="4:5" x14ac:dyDescent="0.2">
      <c r="E41" s="6" t="s">
        <v>1379</v>
      </c>
    </row>
    <row r="42" spans="4:5" x14ac:dyDescent="0.2">
      <c r="D42" t="s">
        <v>236</v>
      </c>
      <c r="E42" t="s">
        <v>235</v>
      </c>
    </row>
    <row r="43" spans="4:5" x14ac:dyDescent="0.2">
      <c r="E43" t="s">
        <v>234</v>
      </c>
    </row>
    <row r="44" spans="4:5" x14ac:dyDescent="0.2">
      <c r="E44" t="s">
        <v>233</v>
      </c>
    </row>
    <row r="45" spans="4:5" x14ac:dyDescent="0.2">
      <c r="E45" s="6" t="s">
        <v>1380</v>
      </c>
    </row>
    <row r="46" spans="4:5" x14ac:dyDescent="0.2">
      <c r="E46" s="6"/>
    </row>
    <row r="49" spans="3:5" x14ac:dyDescent="0.2">
      <c r="C49" s="19" t="s">
        <v>232</v>
      </c>
      <c r="E49" t="s">
        <v>231</v>
      </c>
    </row>
    <row r="50" spans="3:5" x14ac:dyDescent="0.2">
      <c r="E50" t="s">
        <v>230</v>
      </c>
    </row>
    <row r="51" spans="3:5" x14ac:dyDescent="0.2">
      <c r="E51" s="6" t="s">
        <v>656</v>
      </c>
    </row>
    <row r="52" spans="3:5" x14ac:dyDescent="0.2">
      <c r="E52" s="6" t="s">
        <v>657</v>
      </c>
    </row>
    <row r="53" spans="3:5" x14ac:dyDescent="0.2">
      <c r="E53" t="s">
        <v>229</v>
      </c>
    </row>
    <row r="56" spans="3:5" x14ac:dyDescent="0.2">
      <c r="C56" s="19" t="s">
        <v>228</v>
      </c>
      <c r="E56" t="s">
        <v>227</v>
      </c>
    </row>
    <row r="57" spans="3:5" x14ac:dyDescent="0.2">
      <c r="E57" t="s">
        <v>226</v>
      </c>
    </row>
    <row r="58" spans="3:5" x14ac:dyDescent="0.2">
      <c r="E58" t="s">
        <v>225</v>
      </c>
    </row>
    <row r="59" spans="3:5" x14ac:dyDescent="0.2">
      <c r="E59" t="s">
        <v>257</v>
      </c>
    </row>
    <row r="60" spans="3:5" x14ac:dyDescent="0.2">
      <c r="E60" t="s">
        <v>427</v>
      </c>
    </row>
    <row r="61" spans="3:5" x14ac:dyDescent="0.2">
      <c r="E61" t="s">
        <v>428</v>
      </c>
    </row>
    <row r="62" spans="3:5" x14ac:dyDescent="0.2">
      <c r="C62" s="19" t="s">
        <v>224</v>
      </c>
      <c r="E62" s="6" t="s">
        <v>658</v>
      </c>
    </row>
    <row r="63" spans="3:5" x14ac:dyDescent="0.2">
      <c r="E63" t="s">
        <v>223</v>
      </c>
    </row>
    <row r="65" spans="3:10" x14ac:dyDescent="0.2">
      <c r="C65" s="19" t="s">
        <v>222</v>
      </c>
    </row>
    <row r="66" spans="3:10" x14ac:dyDescent="0.2">
      <c r="E66" t="s">
        <v>221</v>
      </c>
    </row>
    <row r="67" spans="3:10" x14ac:dyDescent="0.2">
      <c r="E67" s="6" t="s">
        <v>659</v>
      </c>
    </row>
    <row r="68" spans="3:10" x14ac:dyDescent="0.2">
      <c r="E68" s="6" t="s">
        <v>661</v>
      </c>
    </row>
    <row r="69" spans="3:10" x14ac:dyDescent="0.2">
      <c r="E69" s="6" t="s">
        <v>660</v>
      </c>
    </row>
    <row r="71" spans="3:10" x14ac:dyDescent="0.2">
      <c r="C71" s="19" t="s">
        <v>220</v>
      </c>
      <c r="E71" t="s">
        <v>1364</v>
      </c>
    </row>
    <row r="72" spans="3:10" x14ac:dyDescent="0.2">
      <c r="E72" s="6" t="s">
        <v>1365</v>
      </c>
    </row>
    <row r="73" spans="3:10" x14ac:dyDescent="0.2">
      <c r="E73" s="6" t="s">
        <v>1366</v>
      </c>
    </row>
    <row r="75" spans="3:10" x14ac:dyDescent="0.2">
      <c r="C75" s="19" t="s">
        <v>1381</v>
      </c>
      <c r="E75" s="6" t="s">
        <v>1382</v>
      </c>
    </row>
    <row r="76" spans="3:10" x14ac:dyDescent="0.2">
      <c r="E76" s="6" t="s">
        <v>1383</v>
      </c>
    </row>
    <row r="79" spans="3:10" ht="15.75" thickBot="1" x14ac:dyDescent="0.35">
      <c r="C79" s="93" t="s">
        <v>217</v>
      </c>
    </row>
    <row r="80" spans="3:10" ht="15" x14ac:dyDescent="0.2">
      <c r="C80" s="92" t="s">
        <v>219</v>
      </c>
      <c r="D80" s="95"/>
      <c r="E80" s="95"/>
      <c r="F80" s="95"/>
      <c r="G80" s="95"/>
      <c r="H80" s="95"/>
      <c r="I80" s="33"/>
      <c r="J80" s="91"/>
    </row>
    <row r="81" spans="3:10" ht="15" x14ac:dyDescent="0.2">
      <c r="C81" s="90" t="s">
        <v>218</v>
      </c>
      <c r="D81" s="94"/>
      <c r="E81" s="94"/>
      <c r="F81" s="94"/>
      <c r="G81" s="94"/>
      <c r="H81" s="94"/>
      <c r="I81" s="32"/>
      <c r="J81" s="89"/>
    </row>
    <row r="82" spans="3:10" ht="15" x14ac:dyDescent="0.2">
      <c r="C82" s="90" t="s">
        <v>429</v>
      </c>
      <c r="D82" s="94"/>
      <c r="E82" s="94"/>
      <c r="F82" s="94"/>
      <c r="G82" s="94"/>
      <c r="H82" s="94"/>
      <c r="I82" s="32"/>
      <c r="J82" s="89"/>
    </row>
    <row r="83" spans="3:10" ht="15" x14ac:dyDescent="0.2">
      <c r="C83" s="90" t="s">
        <v>430</v>
      </c>
      <c r="D83" s="32"/>
      <c r="E83" s="32"/>
      <c r="F83" s="32"/>
      <c r="G83" s="32"/>
      <c r="H83" s="32"/>
      <c r="I83" s="32"/>
      <c r="J83" s="89"/>
    </row>
    <row r="84" spans="3:10" ht="15" x14ac:dyDescent="0.2">
      <c r="C84" s="90" t="s">
        <v>431</v>
      </c>
      <c r="D84" s="32"/>
      <c r="E84" s="32"/>
      <c r="F84" s="32"/>
      <c r="G84" s="32"/>
      <c r="H84" s="32"/>
      <c r="I84" s="32"/>
      <c r="J84" s="89"/>
    </row>
    <row r="85" spans="3:10" ht="15.75" thickBot="1" x14ac:dyDescent="0.25">
      <c r="C85" s="88" t="s">
        <v>432</v>
      </c>
      <c r="D85" s="87"/>
      <c r="E85" s="87"/>
      <c r="F85" s="87"/>
      <c r="G85" s="87"/>
      <c r="H85" s="87"/>
      <c r="I85" s="87"/>
      <c r="J85" s="86"/>
    </row>
    <row r="86" spans="3:10" ht="15" x14ac:dyDescent="0.2">
      <c r="C86" s="75"/>
    </row>
    <row r="87" spans="3:10" ht="15.75" thickBot="1" x14ac:dyDescent="0.35">
      <c r="C87" s="93" t="s">
        <v>217</v>
      </c>
    </row>
    <row r="88" spans="3:10" ht="15" x14ac:dyDescent="0.2">
      <c r="C88" s="92" t="s">
        <v>216</v>
      </c>
      <c r="D88" s="33"/>
      <c r="E88" s="33"/>
      <c r="F88" s="33"/>
      <c r="G88" s="33"/>
      <c r="H88" s="33"/>
      <c r="I88" s="33"/>
      <c r="J88" s="91"/>
    </row>
    <row r="89" spans="3:10" ht="15" x14ac:dyDescent="0.2">
      <c r="C89" s="90" t="s">
        <v>215</v>
      </c>
      <c r="D89" s="32"/>
      <c r="E89" s="32"/>
      <c r="F89" s="32"/>
      <c r="G89" s="32"/>
      <c r="H89" s="32"/>
      <c r="I89" s="32"/>
      <c r="J89" s="89"/>
    </row>
    <row r="90" spans="3:10" ht="15" x14ac:dyDescent="0.2">
      <c r="C90" s="90" t="s">
        <v>214</v>
      </c>
      <c r="D90" s="32"/>
      <c r="E90" s="32"/>
      <c r="F90" s="32"/>
      <c r="G90" s="32"/>
      <c r="H90" s="32"/>
      <c r="I90" s="32"/>
      <c r="J90" s="89"/>
    </row>
    <row r="91" spans="3:10" ht="15" x14ac:dyDescent="0.2">
      <c r="C91" s="90" t="s">
        <v>213</v>
      </c>
      <c r="D91" s="32"/>
      <c r="E91" s="32"/>
      <c r="F91" s="32"/>
      <c r="G91" s="32"/>
      <c r="H91" s="32"/>
      <c r="I91" s="32"/>
      <c r="J91" s="89"/>
    </row>
    <row r="92" spans="3:10" ht="15.75" thickBot="1" x14ac:dyDescent="0.25">
      <c r="C92" s="88" t="s">
        <v>212</v>
      </c>
      <c r="D92" s="87"/>
      <c r="E92" s="87"/>
      <c r="F92" s="87"/>
      <c r="G92" s="87"/>
      <c r="H92" s="87"/>
      <c r="I92" s="87"/>
      <c r="J92" s="86"/>
    </row>
  </sheetData>
  <sheetProtection algorithmName="SHA-512" hashValue="VQUCftPY29SbqYiNZRNdm6V4z5lSYmUZeInrKdmceqszUbW07eRA1o6N3pJiQJv5JD1Ap3Y9LJO3tUR/4e1dxQ==" saltValue="1jNMJy/IZaGa7f83qJGdBQ==" spinCount="100000" sheet="1" objects="1" scenarios="1"/>
  <phoneticPr fontId="4" type="noConversion"/>
  <pageMargins left="0.75" right="0.75" top="1" bottom="1" header="0.5" footer="0.5"/>
  <pageSetup scale="78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62</vt:i4>
      </vt:variant>
    </vt:vector>
  </HeadingPairs>
  <TitlesOfParts>
    <vt:vector size="76" baseType="lpstr">
      <vt:lpstr>Year1</vt:lpstr>
      <vt:lpstr>Sheet1</vt:lpstr>
      <vt:lpstr>Grid2</vt:lpstr>
      <vt:lpstr>Grid</vt:lpstr>
      <vt:lpstr>Year2</vt:lpstr>
      <vt:lpstr>Year3</vt:lpstr>
      <vt:lpstr>Year4</vt:lpstr>
      <vt:lpstr>Year5</vt:lpstr>
      <vt:lpstr>Summary_Budget</vt:lpstr>
      <vt:lpstr>INDUSTRY</vt:lpstr>
      <vt:lpstr>Budget Optimizer</vt:lpstr>
      <vt:lpstr>Reference</vt:lpstr>
      <vt:lpstr>AB20 Template</vt:lpstr>
      <vt:lpstr>Instructions</vt:lpstr>
      <vt:lpstr>Academic_Year</vt:lpstr>
      <vt:lpstr>AR_FY</vt:lpstr>
      <vt:lpstr>AR_SALARY</vt:lpstr>
      <vt:lpstr>AR_Title</vt:lpstr>
      <vt:lpstr>Beg_mos_postdoc</vt:lpstr>
      <vt:lpstr>Begin_month</vt:lpstr>
      <vt:lpstr>Begin_Month2</vt:lpstr>
      <vt:lpstr>Blank</vt:lpstr>
      <vt:lpstr>cal_mos_postdoc</vt:lpstr>
      <vt:lpstr>Calendar_Months</vt:lpstr>
      <vt:lpstr>CALENDAR_MONTHS_AR</vt:lpstr>
      <vt:lpstr>DATE_COLUMN</vt:lpstr>
      <vt:lpstr>DATE_COLUMN_AR</vt:lpstr>
      <vt:lpstr>date_postdoc</vt:lpstr>
      <vt:lpstr>Department</vt:lpstr>
      <vt:lpstr>Department2</vt:lpstr>
      <vt:lpstr>exp_level_2</vt:lpstr>
      <vt:lpstr>exp_level_3</vt:lpstr>
      <vt:lpstr>exp_level_hire_date_2</vt:lpstr>
      <vt:lpstr>Fees</vt:lpstr>
      <vt:lpstr>Fiscal_Year_</vt:lpstr>
      <vt:lpstr>FY_postdoc</vt:lpstr>
      <vt:lpstr>FYPX</vt:lpstr>
      <vt:lpstr>GSR_exp</vt:lpstr>
      <vt:lpstr>hiredate2_FY</vt:lpstr>
      <vt:lpstr>hiredate2_period1</vt:lpstr>
      <vt:lpstr>Hiredate2_period2</vt:lpstr>
      <vt:lpstr>hiredate2_period3</vt:lpstr>
      <vt:lpstr>HireDate2_PX_months</vt:lpstr>
      <vt:lpstr>hiredate2_salary</vt:lpstr>
      <vt:lpstr>hireDate2PX_monthsA</vt:lpstr>
      <vt:lpstr>Monthly_Rate</vt:lpstr>
      <vt:lpstr>MonthlySalaryPX</vt:lpstr>
      <vt:lpstr>Name</vt:lpstr>
      <vt:lpstr>Number_Months</vt:lpstr>
      <vt:lpstr>Other_Personnel</vt:lpstr>
      <vt:lpstr>Other_Personnel_Rate</vt:lpstr>
      <vt:lpstr>per_1_postdoc</vt:lpstr>
      <vt:lpstr>Per_2_postdoc</vt:lpstr>
      <vt:lpstr>period_1</vt:lpstr>
      <vt:lpstr>Period_2</vt:lpstr>
      <vt:lpstr>Period_3</vt:lpstr>
      <vt:lpstr>Period_4</vt:lpstr>
      <vt:lpstr>Period_5</vt:lpstr>
      <vt:lpstr>Period1_AR</vt:lpstr>
      <vt:lpstr>Period2_AR</vt:lpstr>
      <vt:lpstr>postdoc_salary</vt:lpstr>
      <vt:lpstr>Year1!Print_Area</vt:lpstr>
      <vt:lpstr>PX_salary2</vt:lpstr>
      <vt:lpstr>PX_salary3</vt:lpstr>
      <vt:lpstr>PXFY2</vt:lpstr>
      <vt:lpstr>PXFY3</vt:lpstr>
      <vt:lpstr>PXlevel</vt:lpstr>
      <vt:lpstr>Range1</vt:lpstr>
      <vt:lpstr>Range2</vt:lpstr>
      <vt:lpstr>Range3</vt:lpstr>
      <vt:lpstr>Range4</vt:lpstr>
      <vt:lpstr>Research_Monthly_Rate</vt:lpstr>
      <vt:lpstr>Research_Type</vt:lpstr>
      <vt:lpstr>Salary</vt:lpstr>
      <vt:lpstr>Step</vt:lpstr>
      <vt:lpstr>Time_Periods</vt:lpstr>
    </vt:vector>
  </TitlesOfParts>
  <Company>EECS - University of California,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lgolds</dc:creator>
  <cp:lastModifiedBy>Leslie Goldstein</cp:lastModifiedBy>
  <cp:lastPrinted>2024-02-20T20:21:31Z</cp:lastPrinted>
  <dcterms:created xsi:type="dcterms:W3CDTF">2006-06-14T16:43:00Z</dcterms:created>
  <dcterms:modified xsi:type="dcterms:W3CDTF">2025-03-03T20:39:40Z</dcterms:modified>
</cp:coreProperties>
</file>